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5.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_rels/sheet1.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xl/drawings/_rels/drawing2.xml.rels" ContentType="application/vnd.openxmlformats-package.relationships+xml"/>
  <Override PartName="/xl/drawings/_rels/drawing1.xml.rels" ContentType="application/vnd.openxmlformats-package.relationship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lockStructure="1" workbookAlgorithmName="SHA-512" workbookHashValue="3EhjEq3AYA3FuWDBCRPd20oeLF0Buxa1l/r2kTo+BE07NhjaIn6aiXckjj8K9QKoHvIgsYIuNelzhnA+gMvzSg==" workbookSaltValue="1dof657sC+e3Hohsh2EboA==" workbookSpinCount="100000"/>
  <bookViews>
    <workbookView showHorizontalScroll="true" showVerticalScroll="true" showSheetTabs="true" xWindow="0" yWindow="0" windowWidth="16384" windowHeight="8192" tabRatio="500" firstSheet="0" activeTab="0"/>
  </bookViews>
  <sheets>
    <sheet name="Dashboard" sheetId="1" state="visible" r:id="rId3"/>
    <sheet name="About Workbook" sheetId="2" state="visible" r:id="rId4"/>
    <sheet name="Setup" sheetId="3" state="visible" r:id="rId5"/>
    <sheet name="Suppliers" sheetId="4" state="visible" r:id="rId6"/>
    <sheet name="Bills" sheetId="5" state="visible" r:id="rId7"/>
    <sheet name="Payments" sheetId="6" state="visible" r:id="rId8"/>
    <sheet name="Payment Planner" sheetId="7" state="visible" r:id="rId9"/>
    <sheet name="Supplier Ageing" sheetId="8" state="visible" r:id="rId10"/>
    <sheet name="Lists" sheetId="9" state="hidden"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<sst xmlns="http://schemas.openxmlformats.org/spreadsheetml/2006/main" count="260" uniqueCount="172">
  <si>
    <t xml:space="preserve">Supplier Payables &amp; Payment Due Tracker</t>
  </si>
  <si>
    <t xml:space="preserve">GO TO SHEET</t>
  </si>
  <si>
    <t xml:space="preserve">POSITION TODAY</t>
  </si>
  <si>
    <t xml:space="preserve">Payable (₹)</t>
  </si>
  <si>
    <t xml:space="preserve">Business &amp; MSME warning</t>
  </si>
  <si>
    <t xml:space="preserve">Total payable</t>
  </si>
  <si>
    <t xml:space="preserve">Not due</t>
  </si>
  <si>
    <t xml:space="preserve">Credit days, MSME category</t>
  </si>
  <si>
    <t xml:space="preserve">Overdue</t>
  </si>
  <si>
    <t xml:space="preserve">1–30 days</t>
  </si>
  <si>
    <t xml:space="preserve">Every purchase bill received</t>
  </si>
  <si>
    <t xml:space="preserve">Due in next 7 days</t>
  </si>
  <si>
    <t xml:space="preserve">31–60 days</t>
  </si>
  <si>
    <t xml:space="preserve">Every payment made</t>
  </si>
  <si>
    <t xml:space="preserve">MSME bills – late or due soon</t>
  </si>
  <si>
    <t xml:space="preserve">61–90 days</t>
  </si>
  <si>
    <t xml:space="preserve">What to pay, soonest first</t>
  </si>
  <si>
    <t xml:space="preserve">Paid this month</t>
  </si>
  <si>
    <t xml:space="preserve">Over 90 days</t>
  </si>
  <si>
    <t xml:space="preserve">0–30 / 31–60 / 61–90 / 90+</t>
  </si>
  <si>
    <t xml:space="preserve">Days payable outstanding (DPO)</t>
  </si>
  <si>
    <t xml:space="preserve">Features &amp; steps</t>
  </si>
  <si>
    <t xml:space="preserve">Suppliers with MSME alerts</t>
  </si>
  <si>
    <t xml:space="preserve">Pay next – soonest pay-by dates</t>
  </si>
  <si>
    <t xml:space="preserve">Checks</t>
  </si>
  <si>
    <t xml:space="preserve">Designed by</t>
  </si>
  <si>
    <t xml:space="preserve">Check out our templates @ xplorexcel.com</t>
  </si>
  <si>
    <t xml:space="preserve">◄ BACK TO DASHBOARD</t>
  </si>
  <si>
    <t xml:space="preserve">Features of Supplier Payables &amp; Payment Due Tracker 1.0 in Microsoft Excel :-</t>
  </si>
  <si>
    <t xml:space="preserve">Life-time free – no macros, works in Excel 2010+, Excel for Mac and Google Sheets</t>
  </si>
  <si>
    <t xml:space="preserve">Suppliers list (up to 100) with credit days, MSME category (Micro / Small / Medium), Udyam number and written-agreement flag</t>
  </si>
  <si>
    <t xml:space="preserve">Bills sheet for up to 500 purchase bills – due date and the MSME last date (15 or up to 45 days) worked out automatically</t>
  </si>
  <si>
    <t xml:space="preserve">Payments for up to 500 entries: against a bill, or 'on account' – adjusted against the oldest bills first</t>
  </si>
  <si>
    <t xml:space="preserve">Payment Planner: every unpaid bill sorted by pay-by date with a running total – plan this week's payments</t>
  </si>
  <si>
    <t xml:space="preserve">MSME alerts: bills from Micro / Small suppliers due within your warning days or already past the last date</t>
  </si>
  <si>
    <t xml:space="preserve">Supplier-wise ageing: Not due, 1–30, 31–60, 61–90, over 90 days, oldest overdue bill and last payment</t>
  </si>
  <si>
    <t xml:space="preserve">Dashboard: total payable, overdue, due in next 7 days, MSME at risk, paid this month and DPO</t>
  </si>
  <si>
    <t xml:space="preserve">How to use it (5 steps)</t>
  </si>
  <si>
    <t xml:space="preserve">Step 1</t>
  </si>
  <si>
    <t xml:space="preserve">Setup – business name, default credit days and how many days before the MSME last date you want a warning.</t>
  </si>
  <si>
    <t xml:space="preserve">Step 2</t>
  </si>
  <si>
    <t xml:space="preserve">Suppliers – one row per supplier; take the MSME category and Udyam number from the supplier's Udyam certificate.</t>
  </si>
  <si>
    <t xml:space="preserve">Step 3</t>
  </si>
  <si>
    <t xml:space="preserve">Bills – enter every purchase bill (total including GST). Old unpaid bills can be entered with their original dates.</t>
  </si>
  <si>
    <t xml:space="preserve">Step 4</t>
  </si>
  <si>
    <t xml:space="preserve">Payments – enter every payment. Fill 'Against bill no.' to pay a specific bill, or leave it blank to clear the oldest bills first.</t>
  </si>
  <si>
    <t xml:space="preserve">Step 5</t>
  </si>
  <si>
    <t xml:space="preserve">Every week open the Payment Planner and pay from the top; MSME bills marked in red come first.</t>
  </si>
  <si>
    <t xml:space="preserve">MSME rule (summary): Micro and Small suppliers must be paid within the agreed period but not later than 45 days from the bill date, or within 15 days if there is no written agreement. Late payments can be disallowed as an expense for income tax. Confirm with your CA.</t>
  </si>
  <si>
    <t xml:space="preserve">Want purchases, payments, stock and GST in one place? See XploreBooks – GST Accounting &amp; Inventory in Excel on xplorexcel.com.</t>
  </si>
  <si>
    <t xml:space="preserve">Business details &amp; settings</t>
  </si>
  <si>
    <t xml:space="preserve">Business name</t>
  </si>
  <si>
    <t xml:space="preserve">Xplore Electricals</t>
  </si>
  <si>
    <t xml:space="preserve">Phone</t>
  </si>
  <si>
    <t xml:space="preserve">98140 12345</t>
  </si>
  <si>
    <t xml:space="preserve">Pay from (bank account)</t>
  </si>
  <si>
    <t xml:space="preserve">SBI Current A/c</t>
  </si>
  <si>
    <t xml:space="preserve">Default credit days</t>
  </si>
  <si>
    <t xml:space="preserve">Position as on (blank = today)</t>
  </si>
  <si>
    <t xml:space="preserve">Warn about MSME deadline (days before)</t>
  </si>
  <si>
    <t xml:space="preserve">Date used</t>
  </si>
  <si>
    <t xml:space="preserve">MSME rule used: a bill from a Micro or Small supplier must be paid within the agreed credit days, but never later than 45 days from the bill date; if there is no written agreement, within 15 days. Payments made later can be disallowed as an expense for income tax. Medium enterprises are not covered. Confirm the rule for your year with your CA.</t>
  </si>
  <si>
    <t xml:space="preserve">Suppliers</t>
  </si>
  <si>
    <t xml:space="preserve">One row per supplier. MSME category comes from the supplier's Udyam certificate. 'Written agreement' = credit days agreed in writing (purchase order / contract); without it, Micro and Small suppliers must be paid within 15 days.</t>
  </si>
  <si>
    <t xml:space="preserve">#</t>
  </si>
  <si>
    <t xml:space="preserve">Supplier name</t>
  </si>
  <si>
    <t xml:space="preserve">City</t>
  </si>
  <si>
    <t xml:space="preserve">Credit days</t>
  </si>
  <si>
    <t xml:space="preserve">MSME category</t>
  </si>
  <si>
    <t xml:space="preserve">Udyam no.</t>
  </si>
  <si>
    <t xml:space="preserve">Written agreement?</t>
  </si>
  <si>
    <t xml:space="preserve">Billed (₹)</t>
  </si>
  <si>
    <t xml:space="preserve">Paid (₹)</t>
  </si>
  <si>
    <t xml:space="preserve">Overdue (₹)</t>
  </si>
  <si>
    <t xml:space="preserve">MSME at risk (₹)</t>
  </si>
  <si>
    <t xml:space="preserve">Status</t>
  </si>
  <si>
    <t xml:space="preserve">Check</t>
  </si>
  <si>
    <t xml:space="preserve">Havells Distributor – Ludhiana</t>
  </si>
  <si>
    <t xml:space="preserve">0161 2555555</t>
  </si>
  <si>
    <t xml:space="preserve">Ludhiana</t>
  </si>
  <si>
    <t xml:space="preserve">Not MSME</t>
  </si>
  <si>
    <t xml:space="preserve">Yes</t>
  </si>
  <si>
    <t xml:space="preserve">Wire House Pvt Ltd</t>
  </si>
  <si>
    <t xml:space="preserve">0124 4666666</t>
  </si>
  <si>
    <t xml:space="preserve">Gurugram</t>
  </si>
  <si>
    <t xml:space="preserve">Small</t>
  </si>
  <si>
    <t xml:space="preserve">UDYAM-HR-05-0012345</t>
  </si>
  <si>
    <t xml:space="preserve">Sharma Lighting Co.</t>
  </si>
  <si>
    <t xml:space="preserve">98760 55555</t>
  </si>
  <si>
    <t xml:space="preserve">Jalandhar</t>
  </si>
  <si>
    <t xml:space="preserve">Micro</t>
  </si>
  <si>
    <t xml:space="preserve">UDYAM-PB-08-0045678</t>
  </si>
  <si>
    <t xml:space="preserve">No</t>
  </si>
  <si>
    <t xml:space="preserve">Punjab Cables</t>
  </si>
  <si>
    <t xml:space="preserve">98140 99999</t>
  </si>
  <si>
    <t xml:space="preserve">Medium</t>
  </si>
  <si>
    <t xml:space="preserve">UDYAM-PB-07-0099887</t>
  </si>
  <si>
    <t xml:space="preserve">Kaur Packaging</t>
  </si>
  <si>
    <t xml:space="preserve">98720 12121</t>
  </si>
  <si>
    <t xml:space="preserve">Hoshiarpur</t>
  </si>
  <si>
    <t xml:space="preserve">UDYAM-PB-11-0012121</t>
  </si>
  <si>
    <t xml:space="preserve">Delhi Switchgear</t>
  </si>
  <si>
    <t xml:space="preserve">011 4777777</t>
  </si>
  <si>
    <t xml:space="preserve">New Delhi</t>
  </si>
  <si>
    <t xml:space="preserve">Purchase bills received</t>
  </si>
  <si>
    <t xml:space="preserve">One row per supplier bill (total including GST). Unpaid bills from before you started can be entered with their original dates. Due date blank = bill date + supplier's credit days. For Micro / Small suppliers the MSME last date is also worked out.</t>
  </si>
  <si>
    <t xml:space="preserve">Bill date</t>
  </si>
  <si>
    <t xml:space="preserve">Supplier bill no.</t>
  </si>
  <si>
    <t xml:space="preserve">Supplier</t>
  </si>
  <si>
    <t xml:space="preserve">Bill amount (₹)</t>
  </si>
  <si>
    <t xml:space="preserve">Due date (optional)</t>
  </si>
  <si>
    <t xml:space="preserve">Remarks</t>
  </si>
  <si>
    <t xml:space="preserve">Due date</t>
  </si>
  <si>
    <t xml:space="preserve">Paid against this bill (₹)</t>
  </si>
  <si>
    <t xml:space="preserve">Adjusted from on-account payments (₹)</t>
  </si>
  <si>
    <t xml:space="preserve">Balance (₹)</t>
  </si>
  <si>
    <t xml:space="preserve">Days overdue</t>
  </si>
  <si>
    <t xml:space="preserve">MSME last date</t>
  </si>
  <si>
    <t xml:space="preserve">PC/2231</t>
  </si>
  <si>
    <t xml:space="preserve">HD/0412</t>
  </si>
  <si>
    <t xml:space="preserve">WH-1187</t>
  </si>
  <si>
    <t xml:space="preserve">SL/118</t>
  </si>
  <si>
    <t xml:space="preserve">HD/0981</t>
  </si>
  <si>
    <t xml:space="preserve">KP/45</t>
  </si>
  <si>
    <t xml:space="preserve">DS/7781</t>
  </si>
  <si>
    <t xml:space="preserve">SL/131</t>
  </si>
  <si>
    <t xml:space="preserve">PC/2390</t>
  </si>
  <si>
    <t xml:space="preserve">WH-1288</t>
  </si>
  <si>
    <t xml:space="preserve">KP/52</t>
  </si>
  <si>
    <t xml:space="preserve">SL/140</t>
  </si>
  <si>
    <t xml:space="preserve">HD/1102</t>
  </si>
  <si>
    <t xml:space="preserve">DS/7902</t>
  </si>
  <si>
    <t xml:space="preserve">WH-1342</t>
  </si>
  <si>
    <t xml:space="preserve">KP/58</t>
  </si>
  <si>
    <t xml:space="preserve">PC/2455</t>
  </si>
  <si>
    <t xml:space="preserve">Payments made</t>
  </si>
  <si>
    <t xml:space="preserve">One row per payment. 'Against bill no.' is optional: leave it blank and the amount is adjusted against the supplier's oldest unpaid bills (on account). Use 'Debit note / Discount' for returns and rate differences.</t>
  </si>
  <si>
    <t xml:space="preserve">Date</t>
  </si>
  <si>
    <t xml:space="preserve">Amount (₹)</t>
  </si>
  <si>
    <t xml:space="preserve">Mode</t>
  </si>
  <si>
    <t xml:space="preserve">Against bill no. (optional)</t>
  </si>
  <si>
    <t xml:space="preserve">UTR / cheque no.</t>
  </si>
  <si>
    <t xml:space="preserve">Bank transfer</t>
  </si>
  <si>
    <t xml:space="preserve">NEFT 55102</t>
  </si>
  <si>
    <t xml:space="preserve">Cheque</t>
  </si>
  <si>
    <t xml:space="preserve">Chq 000781</t>
  </si>
  <si>
    <t xml:space="preserve">RTGS 66120</t>
  </si>
  <si>
    <t xml:space="preserve">UPI</t>
  </si>
  <si>
    <t xml:space="preserve">UTR 7781</t>
  </si>
  <si>
    <t xml:space="preserve">UTR 8890</t>
  </si>
  <si>
    <t xml:space="preserve">NEFT 77231</t>
  </si>
  <si>
    <t xml:space="preserve">Debit note / Discount</t>
  </si>
  <si>
    <t xml:space="preserve">Short supply</t>
  </si>
  <si>
    <t xml:space="preserve">NEFT 88012</t>
  </si>
  <si>
    <t xml:space="preserve">Payment planner – what to pay, soonest first</t>
  </si>
  <si>
    <t xml:space="preserve">Every unpaid or part-paid bill, sorted by the date it must be paid (the earlier of the due date and the MSME last date). Plan this week's payments from the top.</t>
  </si>
  <si>
    <t xml:space="preserve">As on</t>
  </si>
  <si>
    <t xml:space="preserve">Unpaid bills</t>
  </si>
  <si>
    <t xml:space="preserve">Total payable (bills)</t>
  </si>
  <si>
    <t xml:space="preserve">Pay by</t>
  </si>
  <si>
    <t xml:space="preserve">Bill no.</t>
  </si>
  <si>
    <t xml:space="preserve">Days left</t>
  </si>
  <si>
    <t xml:space="preserve">Running total (₹)</t>
  </si>
  <si>
    <t xml:space="preserve">Supplier-wise ageing</t>
  </si>
  <si>
    <t xml:space="preserve">What you owe each supplier, split by how long it is overdue. 'Not due' = still within the credit period.</t>
  </si>
  <si>
    <t xml:space="preserve">Advance / unadjusted (₹)</t>
  </si>
  <si>
    <t xml:space="preserve">Oldest overdue (days)</t>
  </si>
  <si>
    <t xml:space="preserve">Last payment</t>
  </si>
  <si>
    <t xml:space="preserve">MSME</t>
  </si>
  <si>
    <t xml:space="preserve">TOTAL</t>
  </si>
  <si>
    <t xml:space="preserve">Cash</t>
  </si>
  <si>
    <t xml:space="preserve">Card</t>
  </si>
</sst>
</file>

<file path=xl/styles.xml><?xml version="1.0" encoding="utf-8"?>
<styleSheet xmlns="http://schemas.openxmlformats.org/spreadsheetml/2006/main">
  <numFmts count="11">
    <numFmt numFmtId="164" formatCode="General"/>
    <numFmt numFmtId="165" formatCode="###,##0;\(###,##0\);\-"/>
    <numFmt numFmtId="166" formatCode="0&quot; days&quot;"/>
    <numFmt numFmtId="167" formatCode="0"/>
    <numFmt numFmtId="168" formatCode="###,##0"/>
    <numFmt numFmtId="169" formatCode="@"/>
    <numFmt numFmtId="170" formatCode="dd\ mmm\ yyyy"/>
    <numFmt numFmtId="171" formatCode="General"/>
    <numFmt numFmtId="172" formatCode="dd\-mmm\-yy"/>
    <numFmt numFmtId="173" formatCode="mm/dd/yy"/>
    <numFmt numFmtId="174" formatCode="0;[RED]\-0"/>
  </numFmts>
  <fonts count="34">
    <font>
      <sz val="11"/>
      <color theme="1"/>
      <name val="Calibri"/>
      <family val="2"/>
      <charset val="1"/>
    </font>
    <font>
      <sz val="10"/>
      <name val="Arial"/>
      <family val="0"/>
    </font>
    <font>
      <sz val="10"/>
      <name val="Arial"/>
      <family val="0"/>
    </font>
    <font>
      <sz val="10"/>
      <name val="Arial"/>
      <family val="0"/>
    </font>
    <font>
      <b val="true"/>
      <sz val="20"/>
      <color rgb="FFFFFFFF"/>
      <name val="Cambria"/>
      <family val="0"/>
      <charset val="1"/>
    </font>
    <font>
      <b val="true"/>
      <sz val="12"/>
      <color rgb="FF002060"/>
      <name val="Cambria"/>
      <family val="0"/>
      <charset val="1"/>
    </font>
    <font>
      <i val="true"/>
      <sz val="9"/>
      <color rgb="FF20AD96"/>
      <name val="Cambria"/>
      <family val="0"/>
      <charset val="1"/>
    </font>
    <font>
      <b val="true"/>
      <sz val="11"/>
      <color rgb="FF002060"/>
      <name val="Cambria"/>
      <family val="0"/>
      <charset val="1"/>
    </font>
    <font>
      <sz val="8"/>
      <color rgb="FFBFBFBF"/>
      <name val="Cambria"/>
      <family val="0"/>
      <charset val="1"/>
    </font>
    <font>
      <b val="true"/>
      <sz val="12"/>
      <color rgb="FFC00000"/>
      <name val="Cambria"/>
      <family val="0"/>
      <charset val="1"/>
    </font>
    <font>
      <b val="true"/>
      <sz val="12"/>
      <color rgb="FF006838"/>
      <name val="Cambria"/>
      <family val="0"/>
      <charset val="1"/>
    </font>
    <font>
      <b val="true"/>
      <sz val="10"/>
      <color rgb="FF002060"/>
      <name val="Cambria"/>
      <family val="0"/>
      <charset val="1"/>
    </font>
    <font>
      <b val="true"/>
      <sz val="11"/>
      <color rgb="FF000000"/>
      <name val="Cambria"/>
      <family val="0"/>
      <charset val="1"/>
    </font>
    <font>
      <u val="single"/>
      <sz val="10"/>
      <color rgb="FF0563C1"/>
      <name val="Cambria"/>
      <family val="0"/>
      <charset val="1"/>
    </font>
    <font>
      <b val="true"/>
      <sz val="18"/>
      <color rgb="FF000000"/>
      <name val="Calibri"/>
      <family val="2"/>
    </font>
    <font>
      <sz val="10"/>
      <color rgb="FF000000"/>
      <name val="Calibri"/>
      <family val="2"/>
    </font>
    <font>
      <b val="true"/>
      <u val="single"/>
      <sz val="11"/>
      <color rgb="FF002060"/>
      <name val="Cambria"/>
      <family val="0"/>
      <charset val="1"/>
    </font>
    <font>
      <b val="true"/>
      <sz val="18"/>
      <color rgb="FF006838"/>
      <name val="Cambria"/>
      <family val="0"/>
      <charset val="1"/>
    </font>
    <font>
      <b val="true"/>
      <sz val="16"/>
      <color rgb="FF006838"/>
      <name val="Cambria"/>
      <family val="0"/>
      <charset val="1"/>
    </font>
    <font>
      <b val="true"/>
      <sz val="11"/>
      <color rgb="FFC00000"/>
      <name val="Cambria"/>
      <family val="0"/>
      <charset val="1"/>
    </font>
    <font>
      <sz val="11"/>
      <color rgb="FF002060"/>
      <name val="Cambria"/>
      <family val="0"/>
      <charset val="1"/>
    </font>
    <font>
      <i val="true"/>
      <sz val="10"/>
      <color rgb="FF7F7F7F"/>
      <name val="Cambria"/>
      <family val="0"/>
      <charset val="1"/>
    </font>
    <font>
      <b val="true"/>
      <i val="true"/>
      <sz val="10"/>
      <color rgb="FFC00000"/>
      <name val="Cambria"/>
      <family val="0"/>
      <charset val="1"/>
    </font>
    <font>
      <b val="true"/>
      <sz val="18"/>
      <color rgb="FFFFFFFF"/>
      <name val="Cambria"/>
      <family val="0"/>
      <charset val="1"/>
    </font>
    <font>
      <b val="true"/>
      <sz val="16"/>
      <color rgb="FFFFFFFF"/>
      <name val="Cambria"/>
      <family val="0"/>
      <charset val="1"/>
    </font>
    <font>
      <b val="true"/>
      <sz val="10"/>
      <color rgb="FFFFFFFF"/>
      <name val="Cambria"/>
      <family val="0"/>
      <charset val="1"/>
    </font>
    <font>
      <sz val="9"/>
      <color rgb="FF7F7F7F"/>
      <name val="Cambria"/>
      <family val="0"/>
      <charset val="1"/>
    </font>
    <font>
      <sz val="10"/>
      <color rgb="FF002060"/>
      <name val="Cambria"/>
      <family val="0"/>
      <charset val="1"/>
    </font>
    <font>
      <sz val="10"/>
      <color rgb="FF000000"/>
      <name val="Cambria"/>
      <family val="0"/>
      <charset val="1"/>
    </font>
    <font>
      <b val="true"/>
      <sz val="10"/>
      <color rgb="FF000000"/>
      <name val="Cambria"/>
      <family val="0"/>
      <charset val="1"/>
    </font>
    <font>
      <sz val="10"/>
      <color rgb="FFC00000"/>
      <name val="Cambria"/>
      <family val="0"/>
      <charset val="1"/>
    </font>
    <font>
      <b val="true"/>
      <sz val="11"/>
      <color rgb="FF006838"/>
      <name val="Cambria"/>
      <family val="0"/>
      <charset val="1"/>
    </font>
    <font>
      <sz val="10"/>
      <color rgb="FF006838"/>
      <name val="Cambria"/>
      <family val="0"/>
      <charset val="1"/>
    </font>
    <font>
      <b val="true"/>
      <sz val="11"/>
      <color rgb="FFFFFFFF"/>
      <name val="Cambria"/>
      <family val="0"/>
      <charset val="1"/>
    </font>
  </fonts>
  <fills count="9">
    <fill>
      <patternFill patternType="none"/>
    </fill>
    <fill>
      <patternFill patternType="gray125"/>
    </fill>
    <fill>
      <patternFill patternType="solid">
        <fgColor rgb="FF006838"/>
        <bgColor rgb="FF008080"/>
      </patternFill>
    </fill>
    <fill>
      <patternFill patternType="solid">
        <fgColor rgb="FFDDEBF7"/>
        <bgColor rgb="FFE2EFDA"/>
      </patternFill>
    </fill>
    <fill>
      <patternFill patternType="solid">
        <fgColor rgb="FFF2F2F2"/>
        <bgColor rgb="FFE2EFDA"/>
      </patternFill>
    </fill>
    <fill>
      <patternFill patternType="solid">
        <fgColor rgb="FFE2EFDA"/>
        <bgColor rgb="FFDDEBF7"/>
      </patternFill>
    </fill>
    <fill>
      <patternFill patternType="solid">
        <fgColor rgb="FFFFFFFF"/>
        <bgColor rgb="FFF2F2F2"/>
      </patternFill>
    </fill>
    <fill>
      <patternFill patternType="solid">
        <fgColor rgb="FFFFF2CC"/>
        <bgColor rgb="FFF2F2F2"/>
      </patternFill>
    </fill>
    <fill>
      <patternFill patternType="solid">
        <fgColor rgb="FFBF8F00"/>
        <bgColor rgb="FF808000"/>
      </patternFill>
    </fill>
  </fills>
  <borders count="2">
    <border diagonalUp="false" diagonalDown="false">
      <left/>
      <right/>
      <top/>
      <bottom/>
      <diagonal/>
    </border>
    <border diagonalUp="false" diagonalDown="false">
      <left style="thin">
        <color rgb="FFA6A6A6"/>
      </left>
      <right style="thin">
        <color rgb="FFA6A6A6"/>
      </right>
      <top style="thin">
        <color rgb="FFA6A6A6"/>
      </top>
      <bottom style="thin">
        <color rgb="FFA6A6A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1">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5" fillId="3"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false" applyAlignment="true" applyProtection="false">
      <alignment horizontal="left" vertical="center" textRotation="0" wrapText="true" indent="0" shrinkToFit="false"/>
      <protection locked="true" hidden="false"/>
    </xf>
    <xf numFmtId="164" fontId="7" fillId="4" borderId="1" xfId="0" applyFont="true" applyBorder="true" applyAlignment="true" applyProtection="false">
      <alignment horizontal="left" vertical="center" textRotation="0" wrapText="true" indent="0" shrinkToFit="false"/>
      <protection locked="true" hidden="false"/>
    </xf>
    <xf numFmtId="165" fontId="5" fillId="5" borderId="1" xfId="0" applyFont="true" applyBorder="tru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5" fontId="9" fillId="6" borderId="1" xfId="0" applyFont="true" applyBorder="true" applyAlignment="true" applyProtection="false">
      <alignment horizontal="center" vertical="center" textRotation="0" wrapText="true" indent="0" shrinkToFit="false"/>
      <protection locked="true" hidden="false"/>
    </xf>
    <xf numFmtId="165" fontId="5" fillId="6" borderId="1" xfId="0" applyFont="true" applyBorder="true" applyAlignment="true" applyProtection="false">
      <alignment horizontal="center" vertical="center" textRotation="0" wrapText="true" indent="0" shrinkToFit="false"/>
      <protection locked="true" hidden="false"/>
    </xf>
    <xf numFmtId="165" fontId="10" fillId="6" borderId="1" xfId="0" applyFont="true" applyBorder="true" applyAlignment="true" applyProtection="false">
      <alignment horizontal="center" vertical="center" textRotation="0" wrapText="true" indent="0" shrinkToFit="false"/>
      <protection locked="true" hidden="false"/>
    </xf>
    <xf numFmtId="166" fontId="5" fillId="6" borderId="1" xfId="0" applyFont="true" applyBorder="true" applyAlignment="true" applyProtection="false">
      <alignment horizontal="center" vertical="center" textRotation="0" wrapText="true" indent="0" shrinkToFit="false"/>
      <protection locked="true" hidden="false"/>
    </xf>
    <xf numFmtId="167" fontId="9" fillId="6" borderId="1" xfId="0" applyFont="true" applyBorder="true" applyAlignment="true" applyProtection="false">
      <alignment horizontal="center"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left" vertical="center" textRotation="0" wrapText="true" indent="0" shrinkToFit="false"/>
      <protection locked="true" hidden="false"/>
    </xf>
    <xf numFmtId="164" fontId="12" fillId="0" borderId="0" xfId="0" applyFont="true" applyBorder="false" applyAlignment="true" applyProtection="false">
      <alignment horizontal="right" vertical="center"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center" vertical="center" textRotation="0" wrapText="true" indent="0" shrinkToFit="false"/>
      <protection locked="true" hidden="false"/>
    </xf>
    <xf numFmtId="164" fontId="5" fillId="0" borderId="0" xfId="0" applyFont="true" applyBorder="false" applyAlignment="true" applyProtection="false">
      <alignment horizontal="left" vertical="center" textRotation="0" wrapText="true" indent="0" shrinkToFit="false"/>
      <protection locked="true" hidden="false"/>
    </xf>
    <xf numFmtId="164" fontId="18" fillId="0" borderId="0" xfId="0" applyFont="true" applyBorder="true" applyAlignment="false" applyProtection="false">
      <alignment horizontal="general" vertical="bottom" textRotation="0" wrapText="false" indent="0" shrinkToFit="false"/>
      <protection locked="true" hidden="false"/>
    </xf>
    <xf numFmtId="164" fontId="19" fillId="0" borderId="0" xfId="0" applyFont="true" applyBorder="false" applyAlignment="true" applyProtection="false">
      <alignment horizontal="center" vertical="center" textRotation="0" wrapText="true" indent="0" shrinkToFit="false"/>
      <protection locked="true" hidden="false"/>
    </xf>
    <xf numFmtId="164" fontId="20" fillId="0" borderId="0" xfId="0" applyFont="true" applyBorder="false" applyAlignment="true" applyProtection="false">
      <alignment horizontal="left" vertical="center" textRotation="0" wrapText="true" indent="0" shrinkToFit="false"/>
      <protection locked="true" hidden="false"/>
    </xf>
    <xf numFmtId="164" fontId="21" fillId="0" borderId="0" xfId="0" applyFont="true" applyBorder="false" applyAlignment="true" applyProtection="false">
      <alignment horizontal="left" vertical="center" textRotation="0" wrapText="true" indent="0" shrinkToFit="false"/>
      <protection locked="true" hidden="false"/>
    </xf>
    <xf numFmtId="164" fontId="22" fillId="0" borderId="0" xfId="0" applyFont="true" applyBorder="false" applyAlignment="true" applyProtection="false">
      <alignment horizontal="left" vertical="center" textRotation="0" wrapText="true" indent="0" shrinkToFit="false"/>
      <protection locked="true" hidden="false"/>
    </xf>
    <xf numFmtId="164" fontId="23" fillId="2" borderId="0" xfId="0" applyFont="true" applyBorder="true" applyAlignment="true" applyProtection="false">
      <alignment horizontal="center" vertical="center" textRotation="0" wrapText="true" indent="0" shrinkToFit="false"/>
      <protection locked="true" hidden="false"/>
    </xf>
    <xf numFmtId="164" fontId="10" fillId="0" borderId="1" xfId="0" applyFont="true" applyBorder="true" applyAlignment="true" applyProtection="false">
      <alignment horizontal="left" vertical="center" textRotation="0" wrapText="true" indent="0" shrinkToFit="false"/>
      <protection locked="true" hidden="false"/>
    </xf>
    <xf numFmtId="164" fontId="5" fillId="7" borderId="1" xfId="0" applyFont="true" applyBorder="true" applyAlignment="true" applyProtection="false">
      <alignment horizontal="center" vertical="center" textRotation="0" wrapText="true" indent="0" shrinkToFit="false"/>
      <protection locked="true" hidden="false"/>
    </xf>
    <xf numFmtId="169" fontId="5" fillId="7" borderId="1" xfId="0" applyFont="true" applyBorder="true" applyAlignment="true" applyProtection="false">
      <alignment horizontal="center" vertical="center" textRotation="0" wrapText="true" indent="0" shrinkToFit="false"/>
      <protection locked="true" hidden="false"/>
    </xf>
    <xf numFmtId="167" fontId="5" fillId="7" borderId="1" xfId="0" applyFont="true" applyBorder="true" applyAlignment="true" applyProtection="false">
      <alignment horizontal="center" vertical="center" textRotation="0" wrapText="true" indent="0" shrinkToFit="false"/>
      <protection locked="true" hidden="false"/>
    </xf>
    <xf numFmtId="170" fontId="5" fillId="7" borderId="1" xfId="0" applyFont="true" applyBorder="true" applyAlignment="true" applyProtection="false">
      <alignment horizontal="center" vertical="center" textRotation="0" wrapText="true" indent="0" shrinkToFit="false"/>
      <protection locked="true" hidden="false"/>
    </xf>
    <xf numFmtId="170" fontId="5" fillId="5" borderId="1" xfId="0" applyFont="true" applyBorder="true" applyAlignment="true" applyProtection="false">
      <alignment horizontal="center" vertical="center" textRotation="0" wrapText="true" indent="0" shrinkToFit="false"/>
      <protection locked="true" hidden="false"/>
    </xf>
    <xf numFmtId="164" fontId="6" fillId="0" borderId="0" xfId="0" applyFont="true" applyBorder="true" applyAlignment="true" applyProtection="false">
      <alignment horizontal="left" vertical="center" textRotation="0" wrapText="true" indent="0" shrinkToFit="false"/>
      <protection locked="true" hidden="false"/>
    </xf>
    <xf numFmtId="164" fontId="24" fillId="2" borderId="0" xfId="0" applyFont="true" applyBorder="true" applyAlignment="true" applyProtection="false">
      <alignment horizontal="left" vertical="center" textRotation="0" wrapText="true" indent="0" shrinkToFit="false"/>
      <protection locked="true" hidden="false"/>
    </xf>
    <xf numFmtId="164" fontId="25" fillId="2" borderId="1" xfId="0" applyFont="true" applyBorder="true" applyAlignment="true" applyProtection="false">
      <alignment horizontal="center" vertical="center" textRotation="0" wrapText="true" indent="0" shrinkToFit="false"/>
      <protection locked="true" hidden="false"/>
    </xf>
    <xf numFmtId="164" fontId="25" fillId="8" borderId="1" xfId="0" applyFont="true" applyBorder="true" applyAlignment="true" applyProtection="false">
      <alignment horizontal="center" vertical="center" textRotation="0" wrapText="true" indent="0" shrinkToFit="false"/>
      <protection locked="true" hidden="false"/>
    </xf>
    <xf numFmtId="171" fontId="26" fillId="0" borderId="1" xfId="0" applyFont="true" applyBorder="true" applyAlignment="true" applyProtection="false">
      <alignment horizontal="center" vertical="center" textRotation="0" wrapText="true" indent="0" shrinkToFit="false"/>
      <protection locked="true" hidden="false"/>
    </xf>
    <xf numFmtId="164" fontId="11" fillId="7" borderId="1" xfId="0" applyFont="true" applyBorder="true" applyAlignment="true" applyProtection="false">
      <alignment horizontal="left" vertical="center" textRotation="0" wrapText="true" indent="0" shrinkToFit="false"/>
      <protection locked="true" hidden="false"/>
    </xf>
    <xf numFmtId="169" fontId="27" fillId="7" borderId="1" xfId="0" applyFont="true" applyBorder="true" applyAlignment="true" applyProtection="false">
      <alignment horizontal="center" vertical="center" textRotation="0" wrapText="true" indent="0" shrinkToFit="false"/>
      <protection locked="true" hidden="false"/>
    </xf>
    <xf numFmtId="164" fontId="27" fillId="7" borderId="1" xfId="0" applyFont="true" applyBorder="true" applyAlignment="true" applyProtection="false">
      <alignment horizontal="left" vertical="center" textRotation="0" wrapText="true" indent="0" shrinkToFit="false"/>
      <protection locked="true" hidden="false"/>
    </xf>
    <xf numFmtId="167" fontId="27" fillId="7" borderId="1" xfId="0" applyFont="true" applyBorder="true" applyAlignment="true" applyProtection="false">
      <alignment horizontal="center" vertical="center" textRotation="0" wrapText="true" indent="0" shrinkToFit="false"/>
      <protection locked="true" hidden="false"/>
    </xf>
    <xf numFmtId="164" fontId="27" fillId="7" borderId="1" xfId="0" applyFont="true" applyBorder="true" applyAlignment="true" applyProtection="false">
      <alignment horizontal="center" vertical="center" textRotation="0" wrapText="true" indent="0" shrinkToFit="false"/>
      <protection locked="true" hidden="false"/>
    </xf>
    <xf numFmtId="165" fontId="28" fillId="0" borderId="1" xfId="0" applyFont="true" applyBorder="true" applyAlignment="true" applyProtection="false">
      <alignment horizontal="center" vertical="center" textRotation="0" wrapText="true" indent="0" shrinkToFit="false"/>
      <protection locked="true" hidden="false"/>
    </xf>
    <xf numFmtId="165" fontId="29" fillId="0" borderId="1" xfId="0" applyFont="true" applyBorder="true" applyAlignment="true" applyProtection="false">
      <alignment horizontal="center" vertical="center" textRotation="0" wrapText="true" indent="0" shrinkToFit="false"/>
      <protection locked="true" hidden="false"/>
    </xf>
    <xf numFmtId="165" fontId="30" fillId="0" borderId="1" xfId="0" applyFont="true" applyBorder="true" applyAlignment="true" applyProtection="false">
      <alignment horizontal="center" vertical="center" textRotation="0" wrapText="true" indent="0" shrinkToFit="false"/>
      <protection locked="true" hidden="false"/>
    </xf>
    <xf numFmtId="164" fontId="29" fillId="0" borderId="1" xfId="0" applyFont="true" applyBorder="true" applyAlignment="true" applyProtection="false">
      <alignment horizontal="left" vertical="center" textRotation="0" wrapText="true" indent="0" shrinkToFit="false"/>
      <protection locked="true" hidden="false"/>
    </xf>
    <xf numFmtId="164" fontId="28" fillId="0" borderId="1" xfId="0" applyFont="true" applyBorder="true" applyAlignment="true" applyProtection="false">
      <alignment horizontal="left" vertical="center" textRotation="0" wrapText="tru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72" fontId="27" fillId="7" borderId="1" xfId="0" applyFont="true" applyBorder="true" applyAlignment="true" applyProtection="false">
      <alignment horizontal="center" vertical="center" textRotation="0" wrapText="true" indent="0" shrinkToFit="false"/>
      <protection locked="true" hidden="false"/>
    </xf>
    <xf numFmtId="165" fontId="27" fillId="7" borderId="1" xfId="0" applyFont="true" applyBorder="true" applyAlignment="true" applyProtection="false">
      <alignment horizontal="center" vertical="center" textRotation="0" wrapText="true" indent="0" shrinkToFit="false"/>
      <protection locked="true" hidden="false"/>
    </xf>
    <xf numFmtId="172" fontId="28" fillId="0" borderId="1" xfId="0" applyFont="true" applyBorder="true" applyAlignment="true" applyProtection="false">
      <alignment horizontal="center" vertical="center" textRotation="0" wrapText="true" indent="0" shrinkToFit="false"/>
      <protection locked="true" hidden="false"/>
    </xf>
    <xf numFmtId="167" fontId="28" fillId="0" borderId="1" xfId="0" applyFont="true" applyBorder="true" applyAlignment="true" applyProtection="false">
      <alignment horizontal="center" vertical="center" textRotation="0" wrapText="true" indent="0" shrinkToFit="false"/>
      <protection locked="true" hidden="false"/>
    </xf>
    <xf numFmtId="164" fontId="29" fillId="0" borderId="1" xfId="0" applyFont="true" applyBorder="true" applyAlignment="true" applyProtection="false">
      <alignment horizontal="center" vertical="center" textRotation="0" wrapText="true" indent="0" shrinkToFit="false"/>
      <protection locked="true" hidden="false"/>
    </xf>
    <xf numFmtId="173" fontId="8"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right" vertical="center" textRotation="0" wrapText="false" indent="0" shrinkToFit="false"/>
      <protection locked="true" hidden="false"/>
    </xf>
    <xf numFmtId="170" fontId="31" fillId="0" borderId="0" xfId="0" applyFont="true" applyBorder="false" applyAlignment="true" applyProtection="false">
      <alignment horizontal="left" vertical="center" textRotation="0" wrapText="true" indent="0" shrinkToFit="false"/>
      <protection locked="true" hidden="false"/>
    </xf>
    <xf numFmtId="167" fontId="31" fillId="0" borderId="0" xfId="0" applyFont="true" applyBorder="false" applyAlignment="true" applyProtection="false">
      <alignment horizontal="left" vertical="center" textRotation="0" wrapText="true" indent="0" shrinkToFit="false"/>
      <protection locked="true" hidden="false"/>
    </xf>
    <xf numFmtId="165" fontId="19" fillId="0" borderId="0" xfId="0" applyFont="true" applyBorder="false" applyAlignment="true" applyProtection="false">
      <alignment horizontal="left" vertical="center" textRotation="0" wrapText="true" indent="0" shrinkToFit="false"/>
      <protection locked="true" hidden="false"/>
    </xf>
    <xf numFmtId="172" fontId="29" fillId="0" borderId="1" xfId="0" applyFont="true" applyBorder="true" applyAlignment="true" applyProtection="false">
      <alignment horizontal="center" vertical="center" textRotation="0" wrapText="true" indent="0" shrinkToFit="false"/>
      <protection locked="true" hidden="false"/>
    </xf>
    <xf numFmtId="164" fontId="28" fillId="0" borderId="1" xfId="0" applyFont="true" applyBorder="true" applyAlignment="true" applyProtection="false">
      <alignment horizontal="center" vertical="center" textRotation="0" wrapText="true" indent="0" shrinkToFit="false"/>
      <protection locked="true" hidden="false"/>
    </xf>
    <xf numFmtId="174" fontId="28"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left" vertical="center" textRotation="0" wrapText="true" indent="0" shrinkToFit="false"/>
      <protection locked="true" hidden="false"/>
    </xf>
    <xf numFmtId="165" fontId="29" fillId="5" borderId="1" xfId="0" applyFont="true" applyBorder="true" applyAlignment="true" applyProtection="false">
      <alignment horizontal="center" vertical="center" textRotation="0" wrapText="true" indent="0" shrinkToFit="false"/>
      <protection locked="true" hidden="false"/>
    </xf>
    <xf numFmtId="165" fontId="32" fillId="0" borderId="1" xfId="0" applyFont="true" applyBorder="true" applyAlignment="true" applyProtection="false">
      <alignment horizontal="center" vertical="center" textRotation="0" wrapText="true" indent="0" shrinkToFit="false"/>
      <protection locked="true" hidden="false"/>
    </xf>
    <xf numFmtId="164" fontId="33" fillId="2" borderId="1" xfId="0" applyFont="true" applyBorder="true" applyAlignment="true" applyProtection="false">
      <alignment horizontal="center" vertical="center" textRotation="0" wrapText="true" indent="0" shrinkToFit="false"/>
      <protection locked="true" hidden="false"/>
    </xf>
    <xf numFmtId="165" fontId="25" fillId="2" borderId="1" xfId="0" applyFont="true" applyBorder="true" applyAlignment="true" applyProtection="false">
      <alignment horizontal="center" vertical="center" textRotation="0" wrapText="true" indent="0" shrinkToFit="false"/>
      <protection locked="true" hidden="false"/>
    </xf>
    <xf applyProtection="true" numFmtId="164" fontId="5" fillId="7" borderId="1" xfId="0" applyFont="true" applyBorder="true" applyAlignment="true">
      <alignment horizontal="center" vertical="center" textRotation="0" wrapText="true" indent="0" shrinkToFit="false"/>
      <protection locked="false" hidden="false"/>
    </xf>
    <xf applyProtection="true" numFmtId="169" fontId="5" fillId="7" borderId="1" xfId="0" applyFont="true" applyBorder="true" applyAlignment="true">
      <alignment horizontal="center" vertical="center" textRotation="0" wrapText="true" indent="0" shrinkToFit="false"/>
      <protection locked="false" hidden="false"/>
    </xf>
    <xf applyProtection="true" numFmtId="167" fontId="5" fillId="7" borderId="1" xfId="0" applyFont="true" applyBorder="true" applyAlignment="true">
      <alignment horizontal="center" vertical="center" textRotation="0" wrapText="true" indent="0" shrinkToFit="false"/>
      <protection locked="false" hidden="false"/>
    </xf>
    <xf applyProtection="true" numFmtId="170" fontId="5" fillId="7" borderId="1" xfId="0" applyFont="true" applyBorder="true" applyAlignment="true">
      <alignment horizontal="center" vertical="center" textRotation="0" wrapText="true" indent="0" shrinkToFit="false"/>
      <protection locked="false" hidden="false"/>
    </xf>
    <xf applyProtection="true" numFmtId="164" fontId="11" fillId="7" borderId="1" xfId="0" applyFont="true" applyBorder="true" applyAlignment="true">
      <alignment horizontal="left" vertical="center" textRotation="0" wrapText="true" indent="0" shrinkToFit="false"/>
      <protection locked="false" hidden="false"/>
    </xf>
    <xf applyProtection="true" numFmtId="169" fontId="27" fillId="7" borderId="1" xfId="0" applyFont="true" applyBorder="true" applyAlignment="true">
      <alignment horizontal="center" vertical="center" textRotation="0" wrapText="true" indent="0" shrinkToFit="false"/>
      <protection locked="false" hidden="false"/>
    </xf>
    <xf applyProtection="true" numFmtId="164" fontId="27" fillId="7" borderId="1" xfId="0" applyFont="true" applyBorder="true" applyAlignment="true">
      <alignment horizontal="left" vertical="center" textRotation="0" wrapText="true" indent="0" shrinkToFit="false"/>
      <protection locked="false" hidden="false"/>
    </xf>
    <xf applyProtection="true" numFmtId="167" fontId="27" fillId="7" borderId="1" xfId="0" applyFont="true" applyBorder="true" applyAlignment="true">
      <alignment horizontal="center" vertical="center" textRotation="0" wrapText="true" indent="0" shrinkToFit="false"/>
      <protection locked="false" hidden="false"/>
    </xf>
    <xf applyProtection="true" numFmtId="164" fontId="27" fillId="7" borderId="1" xfId="0" applyFont="true" applyBorder="true" applyAlignment="true">
      <alignment horizontal="center" vertical="center" textRotation="0" wrapText="true" indent="0" shrinkToFit="false"/>
      <protection locked="false" hidden="false"/>
    </xf>
    <xf applyProtection="true" numFmtId="172" fontId="27" fillId="7" borderId="1" xfId="0" applyFont="true" applyBorder="true" applyAlignment="true">
      <alignment horizontal="center" vertical="center" textRotation="0" wrapText="true" indent="0" shrinkToFit="false"/>
      <protection locked="false" hidden="false"/>
    </xf>
    <xf applyProtection="true" numFmtId="165" fontId="27" fillId="7" borderId="1" xfId="0" applyFont="true" applyBorder="true" applyAlignment="true">
      <alignment horizontal="center" vertical="center" textRotation="0" wrapText="tru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b val="1"/>
        <color rgb="FFC00000"/>
      </font>
      <fill>
        <patternFill>
          <bgColor rgb="FFFFC7CE"/>
        </patternFill>
      </fill>
    </dxf>
    <dxf>
      <font>
        <b val="1"/>
        <color rgb="FF9C5700"/>
      </font>
      <fill>
        <patternFill>
          <bgColor rgb="FFFFEB9C"/>
        </patternFill>
      </fill>
    </dxf>
    <dxf>
      <font>
        <b val="1"/>
        <color rgb="FF006838"/>
      </font>
    </dxf>
    <dxf>
      <font>
        <b val="1"/>
        <color rgb="FFFFFFFF"/>
      </font>
      <fill>
        <patternFill>
          <bgColor rgb="FFC00000"/>
        </patternFill>
      </fill>
    </dxf>
    <dxf>
      <font>
        <b val="1"/>
        <color rgb="FFC00000"/>
      </font>
    </dxf>
    <dxf>
      <fill>
        <patternFill>
          <bgColor rgb="FFFFC7CE"/>
        </patternFill>
      </fill>
    </dxf>
    <dxf>
      <fill>
        <patternFill>
          <bgColor rgb="FFFFEB9C"/>
        </patternFill>
      </fill>
    </dxf>
    <dxf>
      <font>
        <color rgb="FFFFFFFF"/>
      </font>
    </dxf>
  </dxfs>
  <colors>
    <indexedColors>
      <rgbColor rgb="FF000000"/>
      <rgbColor rgb="FFFFFFFF"/>
      <rgbColor rgb="FFC00000"/>
      <rgbColor rgb="FF00FF00"/>
      <rgbColor rgb="FF0000FF"/>
      <rgbColor rgb="FFFFFF00"/>
      <rgbColor rgb="FFFF00FF"/>
      <rgbColor rgb="FF00FFFF"/>
      <rgbColor rgb="FF800000"/>
      <rgbColor rgb="FF006838"/>
      <rgbColor rgb="FF000080"/>
      <rgbColor rgb="FF808000"/>
      <rgbColor rgb="FF800080"/>
      <rgbColor rgb="FF008080"/>
      <rgbColor rgb="FFBFBFBF"/>
      <rgbColor rgb="FF7F7F7F"/>
      <rgbColor rgb="FFA6A6A6"/>
      <rgbColor rgb="FF993366"/>
      <rgbColor rgb="FFFFF2CC"/>
      <rgbColor rgb="FFDDEBF7"/>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2F2F2"/>
      <rgbColor rgb="FFE2EFDA"/>
      <rgbColor rgb="FFFFEB9C"/>
      <rgbColor rgb="FF99CCFF"/>
      <rgbColor rgb="FFFF99CC"/>
      <rgbColor rgb="FFCC99FF"/>
      <rgbColor rgb="FFFFC7CE"/>
      <rgbColor rgb="FF3366FF"/>
      <rgbColor rgb="FF33CCCC"/>
      <rgbColor rgb="FF99CC00"/>
      <rgbColor rgb="FFFFCC00"/>
      <rgbColor rgb="FFBF8F00"/>
      <rgbColor rgb="FFFF6600"/>
      <rgbColor rgb="FF666699"/>
      <rgbColor rgb="FF878787"/>
      <rgbColor rgb="FF002060"/>
      <rgbColor rgb="FF20AD9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Payable by age</a:t>
            </a:r>
          </a:p>
        </c:rich>
      </c:tx>
      <c:overlay val="0"/>
      <c:spPr>
        <a:noFill/>
        <a:ln w="0">
          <a:noFill/>
        </a:ln>
      </c:spPr>
    </c:title>
    <c:autoTitleDeleted val="0"/>
    <c:plotArea>
      <c:barChart>
        <c:barDir val="col"/>
        <c:grouping val="clustered"/>
        <c:varyColors val="0"/>
        <c:ser>
          <c:idx val="0"/>
          <c:order val="0"/>
          <c:tx>
            <c:strRef>
              <c:f>Dashboard!J8</c:f>
              <c:strCache>
                <c:ptCount val="1"/>
                <c:pt idx="0">
                  <c:v>Payable (₹)</c:v>
                </c:pt>
              </c:strCache>
            </c:strRef>
          </c:tx>
          <c:spPr>
            <a:solidFill>
              <a:srgbClr val="002060"/>
            </a:solidFill>
            <a:ln w="0">
              <a:noFill/>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Dashboard!$I$9:$I$13</c:f>
              <c:strCache>
                <c:ptCount val="5"/>
                <c:pt idx="0">
                  <c:v>Not due</c:v>
                </c:pt>
                <c:pt idx="1">
                  <c:v>1–30 days</c:v>
                </c:pt>
                <c:pt idx="2">
                  <c:v>31–60 days</c:v>
                </c:pt>
                <c:pt idx="3">
                  <c:v>61–90 days</c:v>
                </c:pt>
                <c:pt idx="4">
                  <c:v>Over 90 days</c:v>
                </c:pt>
              </c:strCache>
            </c:strRef>
          </c:cat>
          <c:val>
            <c:numRef>
              <c:f>Dashboard!$J$9:$J$13</c:f>
              <c:numCache>
                <c:formatCode>###,##0;\(###,##0\);\-</c:formatCode>
                <c:ptCount val="5"/>
                <c:pt idx="0">
                  <c:v>183608</c:v>
                </c:pt>
                <c:pt idx="1">
                  <c:v>32092</c:v>
                </c:pt>
                <c:pt idx="2">
                  <c:v>8880</c:v>
                </c:pt>
                <c:pt idx="3">
                  <c:v>0</c:v>
                </c:pt>
                <c:pt idx="4">
                  <c:v>0</c:v>
                </c:pt>
              </c:numCache>
            </c:numRef>
          </c:val>
        </c:ser>
        <c:gapWidth val="150"/>
        <c:overlap val="0"/>
        <c:axId val="90893136"/>
        <c:axId val="74236075"/>
      </c:barChart>
      <c:catAx>
        <c:axId val="9089313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4236075"/>
        <c:crosses val="autoZero"/>
        <c:auto val="1"/>
        <c:lblAlgn val="ctr"/>
        <c:lblOffset val="100"/>
        <c:noMultiLvlLbl val="0"/>
      </c:catAx>
      <c:valAx>
        <c:axId val="74236075"/>
        <c:scaling>
          <c:orientation val="minMax"/>
        </c:scaling>
        <c:delete val="0"/>
        <c:axPos val="l"/>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0893136"/>
        <c:crosses val="autoZero"/>
        <c:crossBetween val="between"/>
      </c:valAx>
      <c:spPr>
        <a:noFill/>
        <a:ln w="0">
          <a:noFill/>
        </a:ln>
      </c:spPr>
    </c:plotArea>
    <c:plotVisOnly val="0"/>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Relationship Id="rId2" Type="http://schemas.openxmlformats.org/officeDocument/2006/relationships/image" Target="../media/image1.png"/><Relationship Id="rId3" Type="http://schemas.openxmlformats.org/officeDocument/2006/relationships/image" Target="../media/image1.png"/>
</Relationships>
</file>

<file path=xl/drawings/_rels/drawing2.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25</xdr:row>
      <xdr:rowOff>0</xdr:rowOff>
    </xdr:from>
    <xdr:to>
      <xdr:col>5</xdr:col>
      <xdr:colOff>997200</xdr:colOff>
      <xdr:row>41</xdr:row>
      <xdr:rowOff>11880</xdr:rowOff>
    </xdr:to>
    <xdr:graphicFrame>
      <xdr:nvGraphicFramePr>
        <xdr:cNvPr id="0" name="Chart 1"/>
        <xdr:cNvGraphicFramePr/>
      </xdr:nvGraphicFramePr>
      <xdr:xfrm>
        <a:off x="141120" y="5934240"/>
        <a:ext cx="7199640" cy="305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0</xdr:row>
      <xdr:rowOff>0</xdr:rowOff>
    </xdr:from>
    <xdr:to>
      <xdr:col>1</xdr:col>
      <xdr:colOff>1618920</xdr:colOff>
      <xdr:row>2</xdr:row>
      <xdr:rowOff>152280</xdr:rowOff>
    </xdr:to>
    <xdr:pic>
      <xdr:nvPicPr>
        <xdr:cNvPr id="1" name="Image 2" descr="Picture"/>
        <xdr:cNvPicPr/>
      </xdr:nvPicPr>
      <xdr:blipFill>
        <a:blip r:embed="rId2"/>
        <a:stretch/>
      </xdr:blipFill>
      <xdr:spPr>
        <a:xfrm>
          <a:off x="141120" y="0"/>
          <a:ext cx="1618920" cy="533160"/>
        </a:xfrm>
        <a:prstGeom prst="rect">
          <a:avLst/>
        </a:prstGeom>
        <a:ln w="0">
          <a:noFill/>
        </a:ln>
      </xdr:spPr>
    </xdr:pic>
    <xdr:clientData/>
  </xdr:twoCellAnchor>
  <xdr:twoCellAnchor editAs="oneCell">
    <xdr:from>
      <xdr:col>5</xdr:col>
      <xdr:colOff>0</xdr:colOff>
      <xdr:row>43</xdr:row>
      <xdr:rowOff>0</xdr:rowOff>
    </xdr:from>
    <xdr:to>
      <xdr:col>5</xdr:col>
      <xdr:colOff>1142640</xdr:colOff>
      <xdr:row>44</xdr:row>
      <xdr:rowOff>190080</xdr:rowOff>
    </xdr:to>
    <xdr:pic>
      <xdr:nvPicPr>
        <xdr:cNvPr id="2" name="Image 3" descr="Picture"/>
        <xdr:cNvPicPr/>
      </xdr:nvPicPr>
      <xdr:blipFill>
        <a:blip r:embed="rId3"/>
        <a:stretch/>
      </xdr:blipFill>
      <xdr:spPr>
        <a:xfrm>
          <a:off x="6343560" y="9363240"/>
          <a:ext cx="1142640" cy="3805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17</xdr:row>
      <xdr:rowOff>104400</xdr:rowOff>
    </xdr:from>
    <xdr:to>
      <xdr:col>1</xdr:col>
      <xdr:colOff>1904760</xdr:colOff>
      <xdr:row>20</xdr:row>
      <xdr:rowOff>58320</xdr:rowOff>
    </xdr:to>
    <xdr:pic>
      <xdr:nvPicPr>
        <xdr:cNvPr id="3" name="Image 1" descr="Picture"/>
        <xdr:cNvPicPr/>
      </xdr:nvPicPr>
      <xdr:blipFill>
        <a:blip r:embed="rId1"/>
        <a:stretch/>
      </xdr:blipFill>
      <xdr:spPr>
        <a:xfrm>
          <a:off x="423000" y="4000680"/>
          <a:ext cx="1904760" cy="63792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https://xplorexcel.com/excel-templates/" TargetMode="External"/><Relationship Id="rId2"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Relationship Id="rId2" Type="http://schemas.openxmlformats.org/officeDocument/2006/relationships/drawing" Target="../drawings/drawing2.xml"/>
</Relationships>
</file>

<file path=xl/worksheets/_rels/sheet3.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_rels/sheet4.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_rels/sheet5.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_rels/sheet6.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_rels/sheet7.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_rels/sheet8.xml.rels><?xml version="1.0" encoding="UTF-8"?>
<Relationships xmlns="http://schemas.openxmlformats.org/package/2006/relationships"><Relationship Id="rId1" Type="http://schemas.openxmlformats.org/officeDocument/2006/relationships/hyperlink" Target="Supplier%20Payables%20and%20Payment%20Due%20Tracker%201.0%20by%20Xplorexcel.com.xlsx"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2060"/>
    <pageSetUpPr fitToPage="true"/>
  </sheetPr>
  <dimension ref="B5:J4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24"/>
    <col collapsed="false" customWidth="true" hidden="false" outlineLevel="0" max="4" min="4" style="0" width="4"/>
    <col collapsed="false" customWidth="true" hidden="false" outlineLevel="0" max="5" min="5" style="0" width="34"/>
    <col collapsed="false" customWidth="true" hidden="false" outlineLevel="0" max="6" min="6" style="0" width="18"/>
    <col collapsed="false" customWidth="true" hidden="false" outlineLevel="0" max="7" min="7" style="0" width="4"/>
    <col collapsed="false" customWidth="true" hidden="true" outlineLevel="0" max="10" min="9" style="0" width="13"/>
  </cols>
  <sheetData>
    <row r="5" customFormat="false" ht="37.5" hidden="false" customHeight="true" outlineLevel="0" collapsed="false">
      <c r="B5" s="1" t="s">
        <v>0</v>
      </c>
      <c r="C5" s="1"/>
      <c r="D5" s="1"/>
      <c r="E5" s="1"/>
      <c r="F5" s="1"/>
    </row>
    <row r="6" customFormat="false" ht="21.75" hidden="false" customHeight="true" outlineLevel="0" collapsed="false">
      <c r="B6" s="2" t="str">
        <f aca="false">Setup!$C$4&amp;"  •  position as on "&amp;TEXT(Setup!$C$11,"dd mmm yyyy")</f>
        <v>Xplore Electricals  •  position as on 15 Oct 2026</v>
      </c>
      <c r="C6" s="2"/>
      <c r="D6" s="2"/>
      <c r="E6" s="2"/>
      <c r="F6" s="2"/>
    </row>
    <row r="8" customFormat="false" ht="15" hidden="false" customHeight="false" outlineLevel="0" collapsed="false">
      <c r="B8" s="3" t="s">
        <v>1</v>
      </c>
      <c r="E8" s="3" t="s">
        <v>2</v>
      </c>
      <c r="J8" s="4" t="s">
        <v>3</v>
      </c>
    </row>
    <row r="9" customFormat="false" ht="24" hidden="false" customHeight="true" outlineLevel="0" collapsed="false">
      <c r="B9" s="5" t="str">
        <f aca="false">HYPERLINK("#'Setup'!A1","1. Setup  ►")</f>
        <v>1. Setup  ►</v>
      </c>
      <c r="C9" s="6" t="s">
        <v>4</v>
      </c>
      <c r="E9" s="7" t="s">
        <v>5</v>
      </c>
      <c r="F9" s="8" t="n">
        <f aca="false">SUM(Suppliers!$K$7:$K$106)</f>
        <v>224580</v>
      </c>
      <c r="I9" s="9" t="s">
        <v>6</v>
      </c>
      <c r="J9" s="10" t="n">
        <f aca="false">'Supplier Ageing'!D107</f>
        <v>183608</v>
      </c>
    </row>
    <row r="10" customFormat="false" ht="24" hidden="false" customHeight="true" outlineLevel="0" collapsed="false">
      <c r="B10" s="5" t="str">
        <f aca="false">HYPERLINK("#'Suppliers'!A1","2. Suppliers  ►")</f>
        <v>2. Suppliers  ►</v>
      </c>
      <c r="C10" s="6" t="s">
        <v>7</v>
      </c>
      <c r="E10" s="7" t="s">
        <v>8</v>
      </c>
      <c r="F10" s="11" t="n">
        <f aca="false">SUMIF(Bills!$L$8:$L$507,"&gt;0",Bills!$K$8:$K$507)</f>
        <v>40972</v>
      </c>
      <c r="I10" s="9" t="s">
        <v>9</v>
      </c>
      <c r="J10" s="10" t="n">
        <f aca="false">'Supplier Ageing'!E107</f>
        <v>32092</v>
      </c>
    </row>
    <row r="11" customFormat="false" ht="24" hidden="false" customHeight="true" outlineLevel="0" collapsed="false">
      <c r="B11" s="5" t="str">
        <f aca="false">HYPERLINK("#'Bills'!A1","3. Bills  ►")</f>
        <v>3. Bills  ►</v>
      </c>
      <c r="C11" s="6" t="s">
        <v>10</v>
      </c>
      <c r="E11" s="7" t="s">
        <v>11</v>
      </c>
      <c r="F11" s="12" t="n">
        <f aca="false">SUMIFS(Bills!$K$8:$K$507,Bills!$H$8:$H$507,"&gt;="&amp;Setup!$C$11,Bills!$H$8:$H$507,"&lt;="&amp;(Setup!$C$11+7))</f>
        <v>30680</v>
      </c>
      <c r="I11" s="9" t="s">
        <v>12</v>
      </c>
      <c r="J11" s="10" t="n">
        <f aca="false">'Supplier Ageing'!F107</f>
        <v>8880</v>
      </c>
    </row>
    <row r="12" customFormat="false" ht="24" hidden="false" customHeight="true" outlineLevel="0" collapsed="false">
      <c r="B12" s="5" t="str">
        <f aca="false">HYPERLINK("#'Payments'!A1","4. Payments  ►")</f>
        <v>4. Payments  ►</v>
      </c>
      <c r="C12" s="6" t="s">
        <v>13</v>
      </c>
      <c r="E12" s="7" t="s">
        <v>14</v>
      </c>
      <c r="F12" s="11" t="n">
        <f aca="false">SUMIFS(Bills!$K$8:$K$507,Bills!$V$8:$V$507,"&lt;="&amp;Setup!$C$9)</f>
        <v>35430</v>
      </c>
      <c r="I12" s="9" t="s">
        <v>15</v>
      </c>
      <c r="J12" s="10" t="n">
        <f aca="false">'Supplier Ageing'!G107</f>
        <v>0</v>
      </c>
    </row>
    <row r="13" customFormat="false" ht="24" hidden="false" customHeight="true" outlineLevel="0" collapsed="false">
      <c r="B13" s="5" t="str">
        <f aca="false">HYPERLINK("#'Payment Planner'!A1","5. Payment Planner  ►")</f>
        <v>5. Payment Planner  ►</v>
      </c>
      <c r="C13" s="6" t="s">
        <v>16</v>
      </c>
      <c r="E13" s="7" t="s">
        <v>17</v>
      </c>
      <c r="F13" s="13" t="n">
        <f aca="false">SUMIFS(Payments!$D$8:$D$507,Payments!$B$8:$B$507,"&gt;="&amp;EOMONTH(Setup!$C$11,-1)+1,Payments!$B$8:$B$507,"&lt;="&amp;Setup!$C$11)</f>
        <v>58380</v>
      </c>
      <c r="I13" s="9" t="s">
        <v>18</v>
      </c>
      <c r="J13" s="10" t="n">
        <f aca="false">'Supplier Ageing'!H107</f>
        <v>0</v>
      </c>
    </row>
    <row r="14" customFormat="false" ht="24" hidden="false" customHeight="true" outlineLevel="0" collapsed="false">
      <c r="B14" s="5" t="str">
        <f aca="false">HYPERLINK("#'Supplier Ageing'!A1","6. Supplier Ageing  ►")</f>
        <v>6. Supplier Ageing  ►</v>
      </c>
      <c r="C14" s="6" t="s">
        <v>19</v>
      </c>
      <c r="E14" s="7" t="s">
        <v>20</v>
      </c>
      <c r="F14" s="14" t="n">
        <f aca="false">IFERROR(ROUND(F9/(SUMIFS(Bills!$E$8:$E$507,Bills!$B$8:$B$507,"&gt;"&amp;(Setup!$C$11-90),Bills!$B$8:$B$507,"&lt;="&amp;Setup!$C$11)/90),0),0)</f>
        <v>63</v>
      </c>
    </row>
    <row r="15" customFormat="false" ht="24" hidden="false" customHeight="true" outlineLevel="0" collapsed="false">
      <c r="B15" s="5" t="str">
        <f aca="false">HYPERLINK("#'About Workbook'!A1","How to use  ►")</f>
        <v>How to use  ►</v>
      </c>
      <c r="C15" s="6" t="s">
        <v>21</v>
      </c>
      <c r="E15" s="7" t="s">
        <v>22</v>
      </c>
      <c r="F15" s="15" t="n">
        <f aca="false">COUNTIF(Suppliers!$N$7:$N$106,"⚠*")</f>
        <v>2</v>
      </c>
    </row>
    <row r="18" customFormat="false" ht="15" hidden="false" customHeight="false" outlineLevel="0" collapsed="false">
      <c r="B18" s="16" t="s">
        <v>23</v>
      </c>
      <c r="E18" s="16" t="s">
        <v>24</v>
      </c>
    </row>
    <row r="19" customFormat="false" ht="15" hidden="false" customHeight="false" outlineLevel="0" collapsed="false">
      <c r="B19" s="17" t="str">
        <f aca="false">IF('Payment Planner'!$M$7="",IF(1=1,"✔ Nothing to pay",""),TEXT('Payment Planner'!$B$7,"dd mmm")&amp;"  –  "&amp;'Payment Planner'!$C$7&amp;"  ₹ "&amp;TEXT('Payment Planner'!$H$7,"#,##,##0")&amp;IF(LEFT('Payment Planner'!$K$7,1)="⚠","  ("&amp;MID('Payment Planner'!$K$7,3,30)&amp;")",""))</f>
        <v>02 Sep  –  Sharma Lighting Co.  ₹ 8,880  (MSME late)</v>
      </c>
      <c r="C19" s="17"/>
      <c r="E19" s="17" t="str">
        <f aca="false">IF(COUNTIF(Bills!$O$8:$O$507,"⚠*")&gt;0,"⚠ "&amp;COUNTIF(Bills!$O$8:$O$507,"⚠*")&amp;" bill row(s) need attention.","✔ All bills are complete.")</f>
        <v>✔ All bills are complete.</v>
      </c>
      <c r="F19" s="17"/>
    </row>
    <row r="20" customFormat="false" ht="15" hidden="false" customHeight="false" outlineLevel="0" collapsed="false">
      <c r="B20" s="17" t="str">
        <f aca="false">IF('Payment Planner'!$M$8="",IF(2=1,"✔ Nothing to pay",""),TEXT('Payment Planner'!$B$8,"dd mmm")&amp;"  –  "&amp;'Payment Planner'!$C$8&amp;"  ₹ "&amp;TEXT('Payment Planner'!$H$8,"#,##,##0")&amp;IF(LEFT('Payment Planner'!$K$8,1)="⚠","  ("&amp;MID('Payment Planner'!$K$8,3,30)&amp;")",""))</f>
        <v>24 Sep  –  Havells Distributor – Ludhiana  ₹ 19,702</v>
      </c>
      <c r="C20" s="17"/>
      <c r="E20" s="17" t="str">
        <f aca="false">IF(COUNTIF(Payments!$I$8:$I$507,"⚠*")&gt;0,"⚠ "&amp;COUNTIF(Payments!$I$8:$I$507,"⚠*")&amp;" payment row(s) need attention.","✔ All payments are complete.")</f>
        <v>✔ All payments are complete.</v>
      </c>
      <c r="F20" s="17"/>
    </row>
    <row r="21" customFormat="false" ht="15" hidden="false" customHeight="false" outlineLevel="0" collapsed="false">
      <c r="B21" s="17" t="str">
        <f aca="false">IF('Payment Planner'!$M$9="",IF(3=1,"✔ Nothing to pay",""),TEXT('Payment Planner'!$B$9,"dd mmm")&amp;"  –  "&amp;'Payment Planner'!$C$9&amp;"  ₹ "&amp;TEXT('Payment Planner'!$H$9,"#,##,##0")&amp;IF(LEFT('Payment Planner'!$K$9,1)="⚠","  ("&amp;MID('Payment Planner'!$K$9,3,30)&amp;")",""))</f>
        <v>03 Oct  –  Sharma Lighting Co.  ₹ 12,390  (MSME late)</v>
      </c>
      <c r="C21" s="17"/>
      <c r="E21" s="17" t="str">
        <f aca="false">IF(COUNTIF(Bills!$N$8:$N$507,"⚠ MSME late")&gt;0,"⚠ "&amp;COUNTIF(Bills!$N$8:$N$507,"⚠ MSME late")&amp;" MSME bill(s) already past the last date.","✔ No MSME bill is past its last date.")</f>
        <v>⚠ 2 MSME bill(s) already past the last date.</v>
      </c>
      <c r="F21" s="17"/>
    </row>
    <row r="22" customFormat="false" ht="15" hidden="false" customHeight="false" outlineLevel="0" collapsed="false">
      <c r="B22" s="17" t="str">
        <f aca="false">IF('Payment Planner'!$M$10="",IF(4=1,"✔ Nothing to pay",""),TEXT('Payment Planner'!$B$10,"dd mmm")&amp;"  –  "&amp;'Payment Planner'!$C$10&amp;"  ₹ "&amp;TEXT('Payment Planner'!$H$10,"#,##,##0")&amp;IF(LEFT('Payment Planner'!$K$10,1)="⚠","  ("&amp;MID('Payment Planner'!$K$10,3,30)&amp;")",""))</f>
        <v>16 Oct  –  Kaur Packaging  ₹ 4,720  (MSME due soon)</v>
      </c>
      <c r="C22" s="17"/>
    </row>
    <row r="23" customFormat="false" ht="15" hidden="false" customHeight="false" outlineLevel="0" collapsed="false">
      <c r="B23" s="17" t="str">
        <f aca="false">IF('Payment Planner'!$M$11="",IF(5=1,"✔ Nothing to pay",""),TEXT('Payment Planner'!$B$11,"dd mmm")&amp;"  –  "&amp;'Payment Planner'!$C$11&amp;"  ₹ "&amp;TEXT('Payment Planner'!$H$11,"#,##,##0")&amp;IF(LEFT('Payment Planner'!$K$11,1)="⚠","  ("&amp;MID('Payment Planner'!$K$11,3,30)&amp;")",""))</f>
        <v>18 Oct  –  Sharma Lighting Co.  ₹ 9,440  (MSME due soon)</v>
      </c>
      <c r="C23" s="17"/>
    </row>
    <row r="44" customFormat="false" ht="15" hidden="false" customHeight="false" outlineLevel="0" collapsed="false">
      <c r="E44" s="18" t="s">
        <v>25</v>
      </c>
    </row>
    <row r="47" customFormat="false" ht="15" hidden="false" customHeight="false" outlineLevel="0" collapsed="false">
      <c r="F47" s="19" t="s">
        <v>26</v>
      </c>
    </row>
  </sheetData>
  <sheetProtection sheet="1" objects="1" scenarios="1" formatColumns="0" formatRows="0" algorithmName="SHA-512" hashValue="u+RfOwRkbXkYh62bF+ZDYTeQgUIcIPma19tn2X2yccji7hLGFMbdZQudQc7P/7ECQMQ05czeN4eoE92bzIofBw==" saltValue="jEOAdYY4j7DBizXCbo7eRA==" spinCount="100000"/>
  <mergeCells count="10">
    <mergeCell ref="B5:F5"/>
    <mergeCell ref="B6:F6"/>
    <mergeCell ref="B19:C19"/>
    <mergeCell ref="E19:F19"/>
    <mergeCell ref="B20:C20"/>
    <mergeCell ref="E20:F20"/>
    <mergeCell ref="B21:C21"/>
    <mergeCell ref="E21:F21"/>
    <mergeCell ref="B22:C22"/>
    <mergeCell ref="B23:C23"/>
  </mergeCells>
  <hyperlinks>
    <hyperlink ref="F47" r:id="rId1" display="Check out our templates @ xplorexcel.com"/>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0AD96"/>
    <pageSetUpPr fitToPage="true"/>
  </sheetPr>
  <dimension ref="A1:B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12"/>
  </cols>
  <sheetData>
    <row r="1" customFormat="false" ht="15" hidden="false" customHeight="false" outlineLevel="0" collapsed="false">
      <c r="A1" s="20" t="s">
        <v>27</v>
      </c>
    </row>
    <row r="2" customFormat="false" ht="22.05" hidden="false" customHeight="false" outlineLevel="0" collapsed="false">
      <c r="A2" s="21" t="s">
        <v>28</v>
      </c>
    </row>
    <row r="3" customFormat="false" ht="15" hidden="false" customHeight="false" outlineLevel="0" collapsed="false">
      <c r="A3" s="22" t="n">
        <v>1</v>
      </c>
      <c r="B3" s="23" t="s">
        <v>29</v>
      </c>
    </row>
    <row r="4" customFormat="false" ht="28.35" hidden="false" customHeight="false" outlineLevel="0" collapsed="false">
      <c r="A4" s="22" t="n">
        <v>2</v>
      </c>
      <c r="B4" s="23" t="s">
        <v>30</v>
      </c>
    </row>
    <row r="5" customFormat="false" ht="28.35" hidden="false" customHeight="false" outlineLevel="0" collapsed="false">
      <c r="A5" s="22" t="n">
        <v>3</v>
      </c>
      <c r="B5" s="23" t="s">
        <v>31</v>
      </c>
    </row>
    <row r="6" customFormat="false" ht="15" hidden="false" customHeight="false" outlineLevel="0" collapsed="false">
      <c r="A6" s="22" t="n">
        <v>4</v>
      </c>
      <c r="B6" s="23" t="s">
        <v>32</v>
      </c>
    </row>
    <row r="7" customFormat="false" ht="15" hidden="false" customHeight="false" outlineLevel="0" collapsed="false">
      <c r="A7" s="22" t="n">
        <v>5</v>
      </c>
      <c r="B7" s="23" t="s">
        <v>33</v>
      </c>
    </row>
    <row r="8" customFormat="false" ht="15" hidden="false" customHeight="false" outlineLevel="0" collapsed="false">
      <c r="A8" s="22" t="n">
        <v>6</v>
      </c>
      <c r="B8" s="23" t="s">
        <v>34</v>
      </c>
    </row>
    <row r="9" customFormat="false" ht="15" hidden="false" customHeight="false" outlineLevel="0" collapsed="false">
      <c r="A9" s="22" t="n">
        <v>7</v>
      </c>
      <c r="B9" s="23" t="s">
        <v>35</v>
      </c>
    </row>
    <row r="10" customFormat="false" ht="15" hidden="false" customHeight="false" outlineLevel="0" collapsed="false">
      <c r="A10" s="22" t="n">
        <v>8</v>
      </c>
      <c r="B10" s="23" t="s">
        <v>36</v>
      </c>
    </row>
    <row r="12" customFormat="false" ht="19.7" hidden="false" customHeight="false" outlineLevel="0" collapsed="false">
      <c r="A12" s="24" t="s">
        <v>37</v>
      </c>
      <c r="B12" s="24"/>
    </row>
    <row r="13" customFormat="false" ht="15" hidden="false" customHeight="false" outlineLevel="0" collapsed="false">
      <c r="A13" s="25" t="s">
        <v>38</v>
      </c>
      <c r="B13" s="26" t="s">
        <v>39</v>
      </c>
    </row>
    <row r="14" customFormat="false" ht="15" hidden="false" customHeight="false" outlineLevel="0" collapsed="false">
      <c r="A14" s="25" t="s">
        <v>40</v>
      </c>
      <c r="B14" s="26" t="s">
        <v>41</v>
      </c>
    </row>
    <row r="15" customFormat="false" ht="15" hidden="false" customHeight="false" outlineLevel="0" collapsed="false">
      <c r="A15" s="25" t="s">
        <v>42</v>
      </c>
      <c r="B15" s="26" t="s">
        <v>43</v>
      </c>
    </row>
    <row r="16" customFormat="false" ht="28.35" hidden="false" customHeight="false" outlineLevel="0" collapsed="false">
      <c r="A16" s="25" t="s">
        <v>44</v>
      </c>
      <c r="B16" s="26" t="s">
        <v>45</v>
      </c>
    </row>
    <row r="17" customFormat="false" ht="15" hidden="false" customHeight="false" outlineLevel="0" collapsed="false">
      <c r="A17" s="25" t="s">
        <v>46</v>
      </c>
      <c r="B17" s="26" t="s">
        <v>47</v>
      </c>
    </row>
    <row r="19" customFormat="false" ht="23.85" hidden="false" customHeight="false" outlineLevel="0" collapsed="false">
      <c r="B19" s="27" t="s">
        <v>48</v>
      </c>
    </row>
    <row r="20" customFormat="false" ht="15" hidden="false" customHeight="false" outlineLevel="0" collapsed="false">
      <c r="B20" s="28" t="s">
        <v>49</v>
      </c>
    </row>
  </sheetData>
  <sheetProtection sheet="1" objects="1" scenarios="1" formatColumns="0" formatRows="0" algorithmName="SHA-512" hashValue="zmpSXGKlOsCpBQuX1fRvy13WYAc2tiqjqZ5sYLhadv3JJ/3ldkQ8I0hgjofzGGu6+AUjJpS46lv/h3p63m2xMg==" saltValue="3jetHHSudolgGZeXGMhChA==" spinCount="100000"/>
  <mergeCells count="1">
    <mergeCell ref="A12:B12"/>
  </mergeCells>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6838"/>
    <pageSetUpPr fitToPage="true"/>
  </sheetPr>
  <dimension ref="A1:D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26"/>
    <col collapsed="false" customWidth="true" hidden="false" outlineLevel="0" max="4" min="4" style="0" width="20"/>
  </cols>
  <sheetData>
    <row r="1" customFormat="false" ht="15" hidden="false" customHeight="false" outlineLevel="0" collapsed="false">
      <c r="A1" s="20" t="s">
        <v>27</v>
      </c>
    </row>
    <row r="2" customFormat="false" ht="31.5" hidden="false" customHeight="true" outlineLevel="0" collapsed="false">
      <c r="A2" s="29" t="s">
        <v>50</v>
      </c>
      <c r="B2" s="29"/>
      <c r="C2" s="29"/>
      <c r="D2" s="29"/>
    </row>
    <row r="4" customFormat="false" ht="21.75" hidden="false" customHeight="true" outlineLevel="0" collapsed="false">
      <c r="A4" s="30" t="s">
        <v>51</v>
      </c>
      <c r="B4" s="30"/>
      <c r="C4" s="70" t="s">
        <v>52</v>
      </c>
    </row>
    <row r="5" customFormat="false" ht="21.75" hidden="false" customHeight="true" outlineLevel="0" collapsed="false">
      <c r="A5" s="30" t="s">
        <v>53</v>
      </c>
      <c r="B5" s="30"/>
      <c r="C5" s="71" t="s">
        <v>54</v>
      </c>
    </row>
    <row r="6" customFormat="false" ht="21.75" hidden="false" customHeight="true" outlineLevel="0" collapsed="false">
      <c r="A6" s="30" t="s">
        <v>55</v>
      </c>
      <c r="B6" s="30"/>
      <c r="C6" s="70" t="s">
        <v>56</v>
      </c>
    </row>
    <row r="7" customFormat="false" ht="21.75" hidden="false" customHeight="true" outlineLevel="0" collapsed="false">
      <c r="A7" s="30" t="s">
        <v>57</v>
      </c>
      <c r="B7" s="30"/>
      <c r="C7" s="72" t="n">
        <v>30</v>
      </c>
    </row>
    <row r="8" customFormat="false" ht="21.75" hidden="false" customHeight="true" outlineLevel="0" collapsed="false">
      <c r="A8" s="30" t="s">
        <v>58</v>
      </c>
      <c r="B8" s="30"/>
      <c r="C8" s="73"/>
    </row>
    <row r="9" customFormat="false" ht="21.75" hidden="false" customHeight="true" outlineLevel="0" collapsed="false">
      <c r="A9" s="30" t="s">
        <v>59</v>
      </c>
      <c r="B9" s="30"/>
      <c r="C9" s="72" t="n">
        <v>5</v>
      </c>
    </row>
    <row r="11" customFormat="false" ht="15" hidden="false" customHeight="true" outlineLevel="0" collapsed="false">
      <c r="A11" s="30" t="s">
        <v>60</v>
      </c>
      <c r="B11" s="30"/>
      <c r="C11" s="35" t="n">
        <f aca="true">IF(C8="",TODAY(),C8)</f>
        <v>46310</v>
      </c>
    </row>
    <row r="13" customFormat="false" ht="15" hidden="false" customHeight="true" outlineLevel="0" collapsed="false">
      <c r="A13" s="36" t="s">
        <v>61</v>
      </c>
      <c r="B13" s="36"/>
      <c r="C13" s="36"/>
      <c r="D13" s="36"/>
    </row>
    <row r="14" customFormat="false" ht="15" hidden="false" customHeight="false" outlineLevel="0" collapsed="false">
      <c r="A14" s="36"/>
      <c r="B14" s="36"/>
      <c r="C14" s="36"/>
      <c r="D14" s="36"/>
    </row>
    <row r="15" customFormat="false" ht="15" hidden="false" customHeight="false" outlineLevel="0" collapsed="false">
      <c r="A15" s="36"/>
      <c r="B15" s="36"/>
      <c r="C15" s="36"/>
      <c r="D15" s="36"/>
    </row>
    <row r="16" customFormat="false" ht="15" hidden="false" customHeight="false" outlineLevel="0" collapsed="false">
      <c r="A16" s="36"/>
      <c r="B16" s="36"/>
      <c r="C16" s="36"/>
      <c r="D16" s="36"/>
    </row>
  </sheetData>
  <sheetProtection sheet="1" objects="1" scenarios="1" formatColumns="0" formatRows="0" algorithmName="SHA-512" hashValue="04PQpKbXfzkoJ2RacvRl5/NB2iKkRV7VZY7ZZbr/+yQjP3mqhMU/0Rpd1MRlIGbYbPSBoECb+nmCiXSnzWM8ng==" saltValue="l8Gi4wUudGsiYq5lnCPEmw==" spinCount="100000"/>
  <mergeCells count="9">
    <mergeCell ref="A2:D2"/>
    <mergeCell ref="A4:B4"/>
    <mergeCell ref="A5:B5"/>
    <mergeCell ref="A6:B6"/>
    <mergeCell ref="A7:B7"/>
    <mergeCell ref="A8:B8"/>
    <mergeCell ref="A9:B9"/>
    <mergeCell ref="A11:B11"/>
    <mergeCell ref="A13:D16"/>
  </mergeCells>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06838"/>
    <pageSetUpPr fitToPage="true"/>
  </sheetPr>
  <dimension ref="A1:S10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8"/>
    <col collapsed="false" customWidth="true" hidden="false" outlineLevel="0" max="3" min="3" style="0" width="13"/>
    <col collapsed="false" customWidth="true" hidden="false" outlineLevel="0" max="4" min="4" style="0" width="12"/>
    <col collapsed="false" customWidth="true" hidden="false" outlineLevel="0" max="5" min="5" style="0" width="8"/>
    <col collapsed="false" customWidth="true" hidden="false" outlineLevel="0" max="6" min="6" style="0" width="11"/>
    <col collapsed="false" customWidth="true" hidden="false" outlineLevel="0" max="7" min="7" style="0" width="21"/>
    <col collapsed="false" customWidth="true" hidden="false" outlineLevel="0" max="8" min="8" style="0" width="10"/>
    <col collapsed="false" customWidth="true" hidden="false" outlineLevel="0" max="10" min="9" style="0" width="12"/>
    <col collapsed="false" customWidth="true" hidden="false" outlineLevel="0" max="11" min="11" style="0" width="13"/>
    <col collapsed="false" customWidth="true" hidden="false" outlineLevel="0" max="13" min="12" style="0" width="12"/>
    <col collapsed="false" customWidth="true" hidden="false" outlineLevel="0" max="14" min="14" style="0" width="16"/>
    <col collapsed="false" customWidth="true" hidden="false" outlineLevel="0" max="15" min="15" style="0" width="15"/>
    <col collapsed="false" customWidth="true" hidden="true" outlineLevel="0" max="19" min="17" style="0" width="13"/>
  </cols>
  <sheetData>
    <row r="1" customFormat="false" ht="15" hidden="false" customHeight="false" outlineLevel="0" collapsed="false">
      <c r="A1" s="20" t="s">
        <v>27</v>
      </c>
    </row>
    <row r="2" customFormat="false" ht="30" hidden="false" customHeight="true" outlineLevel="0" collapsed="false">
      <c r="A2" s="37" t="s">
        <v>62</v>
      </c>
      <c r="B2" s="37"/>
      <c r="C2" s="37"/>
      <c r="D2" s="37"/>
      <c r="E2" s="37"/>
      <c r="F2" s="37"/>
      <c r="G2" s="37"/>
      <c r="H2" s="37"/>
      <c r="I2" s="37"/>
      <c r="J2" s="37"/>
      <c r="K2" s="37"/>
      <c r="L2" s="37"/>
      <c r="M2" s="37"/>
      <c r="N2" s="37"/>
      <c r="O2" s="37"/>
    </row>
    <row r="3" customFormat="false" ht="30" hidden="false" customHeight="true" outlineLevel="0" collapsed="false">
      <c r="A3" s="36" t="s">
        <v>63</v>
      </c>
      <c r="B3" s="36"/>
      <c r="C3" s="36"/>
      <c r="D3" s="36"/>
      <c r="E3" s="36"/>
      <c r="F3" s="36"/>
      <c r="G3" s="36"/>
      <c r="H3" s="36"/>
      <c r="I3" s="36"/>
      <c r="J3" s="36"/>
      <c r="K3" s="36"/>
      <c r="L3" s="36"/>
      <c r="M3" s="36"/>
      <c r="N3" s="36"/>
      <c r="O3" s="36"/>
    </row>
    <row r="6" customFormat="false" ht="39.75" hidden="false" customHeight="true" outlineLevel="0" collapsed="false">
      <c r="A6" s="38" t="s">
        <v>64</v>
      </c>
      <c r="B6" s="39" t="s">
        <v>65</v>
      </c>
      <c r="C6" s="39" t="s">
        <v>53</v>
      </c>
      <c r="D6" s="39" t="s">
        <v>66</v>
      </c>
      <c r="E6" s="39" t="s">
        <v>67</v>
      </c>
      <c r="F6" s="39" t="s">
        <v>68</v>
      </c>
      <c r="G6" s="39" t="s">
        <v>69</v>
      </c>
      <c r="H6" s="39" t="s">
        <v>70</v>
      </c>
      <c r="I6" s="38" t="s">
        <v>71</v>
      </c>
      <c r="J6" s="38" t="s">
        <v>72</v>
      </c>
      <c r="K6" s="38" t="s">
        <v>3</v>
      </c>
      <c r="L6" s="38" t="s">
        <v>73</v>
      </c>
      <c r="M6" s="38" t="s">
        <v>74</v>
      </c>
      <c r="N6" s="38" t="s">
        <v>75</v>
      </c>
      <c r="O6" s="38" t="s">
        <v>76</v>
      </c>
    </row>
    <row r="7" customFormat="false" ht="15" hidden="false" customHeight="false" outlineLevel="0" collapsed="false">
      <c r="A7" s="40" t="n">
        <f aca="false">IF(B7="","",ROW()-6)</f>
        <v>1</v>
      </c>
      <c r="B7" s="74" t="s">
        <v>77</v>
      </c>
      <c r="C7" s="75" t="s">
        <v>78</v>
      </c>
      <c r="D7" s="76" t="s">
        <v>79</v>
      </c>
      <c r="E7" s="77" t="n">
        <v>30</v>
      </c>
      <c r="F7" s="78" t="s">
        <v>80</v>
      </c>
      <c r="G7" s="75"/>
      <c r="H7" s="78" t="s">
        <v>81</v>
      </c>
      <c r="I7" s="46" t="n">
        <f aca="false">IF(B7="","",SUMIFS(Bills!$E$8:$E$507,Bills!$D$8:$D$507,B7))</f>
        <v>88253</v>
      </c>
      <c r="J7" s="46" t="n">
        <f aca="false">IF(B7="","",SUMIFS(Payments!$D$8:$D$507,Payments!$C$8:$C$507,B7))</f>
        <v>30201</v>
      </c>
      <c r="K7" s="47" t="n">
        <f aca="false">IF(B7="","",SUMIFS(Bills!$K$8:$K$507,Bills!$D$8:$D$507,B7)-MAX(0,R7-SUMIFS(Bills!$P$8:$P$507,Bills!$D$8:$D$507,B7)))</f>
        <v>58052</v>
      </c>
      <c r="L7" s="48" t="n">
        <f aca="false">IF(B7="","",SUMIFS(Bills!$K$8:$K$507,Bills!$D$8:$D$507,B7,Bills!$L$8:$L$507,"&gt;0"))</f>
        <v>19702</v>
      </c>
      <c r="M7" s="48" t="n">
        <f aca="false">IF(B7="","",SUMIFS(Bills!$K$8:$K$507,Bills!$D$8:$D$507,B7,Bills!$V$8:$V$507,"&lt;="&amp;Setup!$C$9))</f>
        <v>0</v>
      </c>
      <c r="N7" s="49" t="str">
        <f aca="false">IF(B7="","",IF(K7&lt;0,"Advance paid",IF(N(M7)&gt;0,"⚠ MSME deadline",IF(N(L7)&gt;0,"Overdue",IF(K7&gt;0,"Within credit","✔ Clear")))))</f>
        <v>Overdue</v>
      </c>
      <c r="O7" s="50" t="str">
        <f aca="false">IF(B7="","",IF(COUNTIF($B$7:$B$106,B7)&gt;1,"⚠ Name used twice",IF(AND(OR(F7="Micro",F7="Small"),G7=""),"Add Udyam no.","✔")))</f>
        <v>✔</v>
      </c>
      <c r="Q7" s="51" t="n">
        <f aca="false">IF(B7="",0,IF(E7="",Setup!$C$7,E7))</f>
        <v>30</v>
      </c>
      <c r="R7" s="9" t="n">
        <f aca="false">IF(B7="",0,SUMIFS(Payments!$J$8:$J$507,Payments!$C$8:$C$507,B7))</f>
        <v>0</v>
      </c>
      <c r="S7" s="9" t="str">
        <f aca="false">IF(OR(F7="Micro",F7="Small"),IF(H7="Yes",MIN(45,Q7),15),"")</f>
        <v/>
      </c>
    </row>
    <row r="8" customFormat="false" ht="15" hidden="false" customHeight="false" outlineLevel="0" collapsed="false">
      <c r="A8" s="40" t="n">
        <f aca="false">IF(B8="","",ROW()-6)</f>
        <v>2</v>
      </c>
      <c r="B8" s="74" t="s">
        <v>82</v>
      </c>
      <c r="C8" s="75" t="s">
        <v>83</v>
      </c>
      <c r="D8" s="76" t="s">
        <v>84</v>
      </c>
      <c r="E8" s="77" t="n">
        <v>45</v>
      </c>
      <c r="F8" s="78" t="s">
        <v>85</v>
      </c>
      <c r="G8" s="75" t="s">
        <v>86</v>
      </c>
      <c r="H8" s="78" t="s">
        <v>81</v>
      </c>
      <c r="I8" s="46" t="n">
        <f aca="false">IF(B8="","",SUMIFS(Bills!$E$8:$E$507,Bills!$D$8:$D$507,B8))</f>
        <v>105404</v>
      </c>
      <c r="J8" s="46" t="n">
        <f aca="false">IF(B8="","",SUMIFS(Payments!$D$8:$D$507,Payments!$C$8:$C$507,B8))</f>
        <v>44516</v>
      </c>
      <c r="K8" s="47" t="n">
        <f aca="false">IF(B8="","",SUMIFS(Bills!$K$8:$K$507,Bills!$D$8:$D$507,B8)-MAX(0,R8-SUMIFS(Bills!$P$8:$P$507,Bills!$D$8:$D$507,B8)))</f>
        <v>60888</v>
      </c>
      <c r="L8" s="48" t="n">
        <f aca="false">IF(B8="","",SUMIFS(Bills!$K$8:$K$507,Bills!$D$8:$D$507,B8,Bills!$L$8:$L$507,"&gt;0"))</f>
        <v>0</v>
      </c>
      <c r="M8" s="48" t="n">
        <f aca="false">IF(B8="","",SUMIFS(Bills!$K$8:$K$507,Bills!$D$8:$D$507,B8,Bills!$V$8:$V$507,"&lt;="&amp;Setup!$C$9))</f>
        <v>0</v>
      </c>
      <c r="N8" s="49" t="str">
        <f aca="false">IF(B8="","",IF(K8&lt;0,"Advance paid",IF(N(M8)&gt;0,"⚠ MSME deadline",IF(N(L8)&gt;0,"Overdue",IF(K8&gt;0,"Within credit","✔ Clear")))))</f>
        <v>Within credit</v>
      </c>
      <c r="O8" s="50" t="str">
        <f aca="false">IF(B8="","",IF(COUNTIF($B$7:$B$106,B8)&gt;1,"⚠ Name used twice",IF(AND(OR(F8="Micro",F8="Small"),G8=""),"Add Udyam no.","✔")))</f>
        <v>✔</v>
      </c>
      <c r="Q8" s="51" t="n">
        <f aca="false">IF(B8="",0,IF(E8="",Setup!$C$7,E8))</f>
        <v>45</v>
      </c>
      <c r="R8" s="9" t="n">
        <f aca="false">IF(B8="",0,SUMIFS(Payments!$J$8:$J$507,Payments!$C$8:$C$507,B8))</f>
        <v>0</v>
      </c>
      <c r="S8" s="9" t="n">
        <f aca="false">IF(OR(F8="Micro",F8="Small"),IF(H8="Yes",MIN(45,Q8),15),"")</f>
        <v>45</v>
      </c>
    </row>
    <row r="9" customFormat="false" ht="15" hidden="false" customHeight="false" outlineLevel="0" collapsed="false">
      <c r="A9" s="40" t="n">
        <f aca="false">IF(B9="","",ROW()-6)</f>
        <v>3</v>
      </c>
      <c r="B9" s="74" t="s">
        <v>87</v>
      </c>
      <c r="C9" s="75" t="s">
        <v>88</v>
      </c>
      <c r="D9" s="76" t="s">
        <v>89</v>
      </c>
      <c r="E9" s="77" t="n">
        <v>21</v>
      </c>
      <c r="F9" s="78" t="s">
        <v>90</v>
      </c>
      <c r="G9" s="75" t="s">
        <v>91</v>
      </c>
      <c r="H9" s="78" t="s">
        <v>92</v>
      </c>
      <c r="I9" s="46" t="n">
        <f aca="false">IF(B9="","",SUMIFS(Bills!$E$8:$E$507,Bills!$D$8:$D$507,B9))</f>
        <v>40710</v>
      </c>
      <c r="J9" s="46" t="n">
        <f aca="false">IF(B9="","",SUMIFS(Payments!$D$8:$D$507,Payments!$C$8:$C$507,B9))</f>
        <v>10000</v>
      </c>
      <c r="K9" s="47" t="n">
        <f aca="false">IF(B9="","",SUMIFS(Bills!$K$8:$K$507,Bills!$D$8:$D$507,B9)-MAX(0,R9-SUMIFS(Bills!$P$8:$P$507,Bills!$D$8:$D$507,B9)))</f>
        <v>30710</v>
      </c>
      <c r="L9" s="48" t="n">
        <f aca="false">IF(B9="","",SUMIFS(Bills!$K$8:$K$507,Bills!$D$8:$D$507,B9,Bills!$L$8:$L$507,"&gt;0"))</f>
        <v>21270</v>
      </c>
      <c r="M9" s="48" t="n">
        <f aca="false">IF(B9="","",SUMIFS(Bills!$K$8:$K$507,Bills!$D$8:$D$507,B9,Bills!$V$8:$V$507,"&lt;="&amp;Setup!$C$9))</f>
        <v>30710</v>
      </c>
      <c r="N9" s="49" t="str">
        <f aca="false">IF(B9="","",IF(K9&lt;0,"Advance paid",IF(N(M9)&gt;0,"⚠ MSME deadline",IF(N(L9)&gt;0,"Overdue",IF(K9&gt;0,"Within credit","✔ Clear")))))</f>
        <v>⚠ MSME deadline</v>
      </c>
      <c r="O9" s="50" t="str">
        <f aca="false">IF(B9="","",IF(COUNTIF($B$7:$B$106,B9)&gt;1,"⚠ Name used twice",IF(AND(OR(F9="Micro",F9="Small"),G9=""),"Add Udyam no.","✔")))</f>
        <v>✔</v>
      </c>
      <c r="Q9" s="51" t="n">
        <f aca="false">IF(B9="",0,IF(E9="",Setup!$C$7,E9))</f>
        <v>21</v>
      </c>
      <c r="R9" s="9" t="n">
        <f aca="false">IF(B9="",0,SUMIFS(Payments!$J$8:$J$507,Payments!$C$8:$C$507,B9))</f>
        <v>10000</v>
      </c>
      <c r="S9" s="9" t="n">
        <f aca="false">IF(OR(F9="Micro",F9="Small"),IF(H9="Yes",MIN(45,Q9),15),"")</f>
        <v>15</v>
      </c>
    </row>
    <row r="10" customFormat="false" ht="15" hidden="false" customHeight="false" outlineLevel="0" collapsed="false">
      <c r="A10" s="40" t="n">
        <f aca="false">IF(B10="","",ROW()-6)</f>
        <v>4</v>
      </c>
      <c r="B10" s="74" t="s">
        <v>93</v>
      </c>
      <c r="C10" s="75" t="s">
        <v>94</v>
      </c>
      <c r="D10" s="76" t="s">
        <v>79</v>
      </c>
      <c r="E10" s="77" t="n">
        <v>30</v>
      </c>
      <c r="F10" s="78" t="s">
        <v>95</v>
      </c>
      <c r="G10" s="75" t="s">
        <v>96</v>
      </c>
      <c r="H10" s="78" t="s">
        <v>81</v>
      </c>
      <c r="I10" s="46" t="n">
        <f aca="false">IF(B10="","",SUMIFS(Bills!$E$8:$E$507,Bills!$D$8:$D$507,B10))</f>
        <v>86140</v>
      </c>
      <c r="J10" s="46" t="n">
        <f aca="false">IF(B10="","",SUMIFS(Payments!$D$8:$D$507,Payments!$C$8:$C$507,B10))</f>
        <v>42480</v>
      </c>
      <c r="K10" s="47" t="n">
        <f aca="false">IF(B10="","",SUMIFS(Bills!$K$8:$K$507,Bills!$D$8:$D$507,B10)-MAX(0,R10-SUMIFS(Bills!$P$8:$P$507,Bills!$D$8:$D$507,B10)))</f>
        <v>43660</v>
      </c>
      <c r="L10" s="48" t="n">
        <f aca="false">IF(B10="","",SUMIFS(Bills!$K$8:$K$507,Bills!$D$8:$D$507,B10,Bills!$L$8:$L$507,"&gt;0"))</f>
        <v>0</v>
      </c>
      <c r="M10" s="48" t="n">
        <f aca="false">IF(B10="","",SUMIFS(Bills!$K$8:$K$507,Bills!$D$8:$D$507,B10,Bills!$V$8:$V$507,"&lt;="&amp;Setup!$C$9))</f>
        <v>0</v>
      </c>
      <c r="N10" s="49" t="str">
        <f aca="false">IF(B10="","",IF(K10&lt;0,"Advance paid",IF(N(M10)&gt;0,"⚠ MSME deadline",IF(N(L10)&gt;0,"Overdue",IF(K10&gt;0,"Within credit","✔ Clear")))))</f>
        <v>Within credit</v>
      </c>
      <c r="O10" s="50" t="str">
        <f aca="false">IF(B10="","",IF(COUNTIF($B$7:$B$106,B10)&gt;1,"⚠ Name used twice",IF(AND(OR(F10="Micro",F10="Small"),G10=""),"Add Udyam no.","✔")))</f>
        <v>✔</v>
      </c>
      <c r="Q10" s="51" t="n">
        <f aca="false">IF(B10="",0,IF(E10="",Setup!$C$7,E10))</f>
        <v>30</v>
      </c>
      <c r="R10" s="9" t="n">
        <f aca="false">IF(B10="",0,SUMIFS(Payments!$J$8:$J$507,Payments!$C$8:$C$507,B10))</f>
        <v>42480</v>
      </c>
      <c r="S10" s="9" t="str">
        <f aca="false">IF(OR(F10="Micro",F10="Small"),IF(H10="Yes",MIN(45,Q10),15),"")</f>
        <v/>
      </c>
    </row>
    <row r="11" customFormat="false" ht="15" hidden="false" customHeight="false" outlineLevel="0" collapsed="false">
      <c r="A11" s="40" t="n">
        <f aca="false">IF(B11="","",ROW()-6)</f>
        <v>5</v>
      </c>
      <c r="B11" s="74" t="s">
        <v>97</v>
      </c>
      <c r="C11" s="75" t="s">
        <v>98</v>
      </c>
      <c r="D11" s="76" t="s">
        <v>99</v>
      </c>
      <c r="E11" s="77" t="n">
        <v>15</v>
      </c>
      <c r="F11" s="78" t="s">
        <v>90</v>
      </c>
      <c r="G11" s="75" t="s">
        <v>100</v>
      </c>
      <c r="H11" s="78" t="s">
        <v>81</v>
      </c>
      <c r="I11" s="46" t="n">
        <f aca="false">IF(B11="","",SUMIFS(Bills!$E$8:$E$507,Bills!$D$8:$D$507,B11))</f>
        <v>16402</v>
      </c>
      <c r="J11" s="46" t="n">
        <f aca="false">IF(B11="","",SUMIFS(Payments!$D$8:$D$507,Payments!$C$8:$C$507,B11))</f>
        <v>6372</v>
      </c>
      <c r="K11" s="47" t="n">
        <f aca="false">IF(B11="","",SUMIFS(Bills!$K$8:$K$507,Bills!$D$8:$D$507,B11)-MAX(0,R11-SUMIFS(Bills!$P$8:$P$507,Bills!$D$8:$D$507,B11)))</f>
        <v>10030</v>
      </c>
      <c r="L11" s="48" t="n">
        <f aca="false">IF(B11="","",SUMIFS(Bills!$K$8:$K$507,Bills!$D$8:$D$507,B11,Bills!$L$8:$L$507,"&gt;0"))</f>
        <v>0</v>
      </c>
      <c r="M11" s="48" t="n">
        <f aca="false">IF(B11="","",SUMIFS(Bills!$K$8:$K$507,Bills!$D$8:$D$507,B11,Bills!$V$8:$V$507,"&lt;="&amp;Setup!$C$9))</f>
        <v>4720</v>
      </c>
      <c r="N11" s="49" t="str">
        <f aca="false">IF(B11="","",IF(K11&lt;0,"Advance paid",IF(N(M11)&gt;0,"⚠ MSME deadline",IF(N(L11)&gt;0,"Overdue",IF(K11&gt;0,"Within credit","✔ Clear")))))</f>
        <v>⚠ MSME deadline</v>
      </c>
      <c r="O11" s="50" t="str">
        <f aca="false">IF(B11="","",IF(COUNTIF($B$7:$B$106,B11)&gt;1,"⚠ Name used twice",IF(AND(OR(F11="Micro",F11="Small"),G11=""),"Add Udyam no.","✔")))</f>
        <v>✔</v>
      </c>
      <c r="Q11" s="51" t="n">
        <f aca="false">IF(B11="",0,IF(E11="",Setup!$C$7,E11))</f>
        <v>15</v>
      </c>
      <c r="R11" s="9" t="n">
        <f aca="false">IF(B11="",0,SUMIFS(Payments!$J$8:$J$507,Payments!$C$8:$C$507,B11))</f>
        <v>0</v>
      </c>
      <c r="S11" s="9" t="n">
        <f aca="false">IF(OR(F11="Micro",F11="Small"),IF(H11="Yes",MIN(45,Q11),15),"")</f>
        <v>15</v>
      </c>
    </row>
    <row r="12" customFormat="false" ht="15" hidden="false" customHeight="false" outlineLevel="0" collapsed="false">
      <c r="A12" s="40" t="n">
        <f aca="false">IF(B12="","",ROW()-6)</f>
        <v>6</v>
      </c>
      <c r="B12" s="74" t="s">
        <v>101</v>
      </c>
      <c r="C12" s="75" t="s">
        <v>102</v>
      </c>
      <c r="D12" s="76" t="s">
        <v>103</v>
      </c>
      <c r="E12" s="77" t="n">
        <v>30</v>
      </c>
      <c r="F12" s="78" t="s">
        <v>80</v>
      </c>
      <c r="G12" s="75"/>
      <c r="H12" s="78" t="s">
        <v>81</v>
      </c>
      <c r="I12" s="46" t="n">
        <f aca="false">IF(B12="","",SUMIFS(Bills!$E$8:$E$507,Bills!$D$8:$D$507,B12))</f>
        <v>56640</v>
      </c>
      <c r="J12" s="46" t="n">
        <f aca="false">IF(B12="","",SUMIFS(Payments!$D$8:$D$507,Payments!$C$8:$C$507,B12))</f>
        <v>35400</v>
      </c>
      <c r="K12" s="47" t="n">
        <f aca="false">IF(B12="","",SUMIFS(Bills!$K$8:$K$507,Bills!$D$8:$D$507,B12)-MAX(0,R12-SUMIFS(Bills!$P$8:$P$507,Bills!$D$8:$D$507,B12)))</f>
        <v>21240</v>
      </c>
      <c r="L12" s="48" t="n">
        <f aca="false">IF(B12="","",SUMIFS(Bills!$K$8:$K$507,Bills!$D$8:$D$507,B12,Bills!$L$8:$L$507,"&gt;0"))</f>
        <v>0</v>
      </c>
      <c r="M12" s="48" t="n">
        <f aca="false">IF(B12="","",SUMIFS(Bills!$K$8:$K$507,Bills!$D$8:$D$507,B12,Bills!$V$8:$V$507,"&lt;="&amp;Setup!$C$9))</f>
        <v>0</v>
      </c>
      <c r="N12" s="49" t="str">
        <f aca="false">IF(B12="","",IF(K12&lt;0,"Advance paid",IF(N(M12)&gt;0,"⚠ MSME deadline",IF(N(L12)&gt;0,"Overdue",IF(K12&gt;0,"Within credit","✔ Clear")))))</f>
        <v>Within credit</v>
      </c>
      <c r="O12" s="50" t="str">
        <f aca="false">IF(B12="","",IF(COUNTIF($B$7:$B$106,B12)&gt;1,"⚠ Name used twice",IF(AND(OR(F12="Micro",F12="Small"),G12=""),"Add Udyam no.","✔")))</f>
        <v>✔</v>
      </c>
      <c r="Q12" s="51" t="n">
        <f aca="false">IF(B12="",0,IF(E12="",Setup!$C$7,E12))</f>
        <v>30</v>
      </c>
      <c r="R12" s="9" t="n">
        <f aca="false">IF(B12="",0,SUMIFS(Payments!$J$8:$J$507,Payments!$C$8:$C$507,B12))</f>
        <v>0</v>
      </c>
      <c r="S12" s="9" t="str">
        <f aca="false">IF(OR(F12="Micro",F12="Small"),IF(H12="Yes",MIN(45,Q12),15),"")</f>
        <v/>
      </c>
    </row>
    <row r="13" customFormat="false" ht="15" hidden="false" customHeight="false" outlineLevel="0" collapsed="false">
      <c r="A13" s="40" t="str">
        <f aca="false">IF(B13="","",ROW()-6)</f>
        <v/>
      </c>
      <c r="B13" s="74"/>
      <c r="C13" s="75"/>
      <c r="D13" s="76"/>
      <c r="E13" s="77"/>
      <c r="F13" s="78"/>
      <c r="G13" s="75"/>
      <c r="H13" s="78"/>
      <c r="I13" s="46" t="str">
        <f aca="false">IF(B13="","",SUMIFS(Bills!$E$8:$E$507,Bills!$D$8:$D$507,B13))</f>
        <v/>
      </c>
      <c r="J13" s="46" t="str">
        <f aca="false">IF(B13="","",SUMIFS(Payments!$D$8:$D$507,Payments!$C$8:$C$507,B13))</f>
        <v/>
      </c>
      <c r="K13" s="47" t="str">
        <f aca="false">IF(B13="","",SUMIFS(Bills!$K$8:$K$507,Bills!$D$8:$D$507,B13)-MAX(0,R13-SUMIFS(Bills!$P$8:$P$507,Bills!$D$8:$D$507,B13)))</f>
        <v/>
      </c>
      <c r="L13" s="48" t="str">
        <f aca="false">IF(B13="","",SUMIFS(Bills!$K$8:$K$507,Bills!$D$8:$D$507,B13,Bills!$L$8:$L$507,"&gt;0"))</f>
        <v/>
      </c>
      <c r="M13" s="48" t="str">
        <f aca="false">IF(B13="","",SUMIFS(Bills!$K$8:$K$507,Bills!$D$8:$D$507,B13,Bills!$V$8:$V$507,"&lt;="&amp;Setup!$C$9))</f>
        <v/>
      </c>
      <c r="N13" s="49" t="str">
        <f aca="false">IF(B13="","",IF(K13&lt;0,"Advance paid",IF(N(M13)&gt;0,"⚠ MSME deadline",IF(N(L13)&gt;0,"Overdue",IF(K13&gt;0,"Within credit","✔ Clear")))))</f>
        <v/>
      </c>
      <c r="O13" s="50" t="str">
        <f aca="false">IF(B13="","",IF(COUNTIF($B$7:$B$106,B13)&gt;1,"⚠ Name used twice",IF(AND(OR(F13="Micro",F13="Small"),G13=""),"Add Udyam no.","✔")))</f>
        <v/>
      </c>
      <c r="Q13" s="9" t="n">
        <f aca="false">IF(B13="",0,IF(E13="",Setup!$C$7,E13))</f>
        <v>0</v>
      </c>
      <c r="R13" s="9" t="n">
        <f aca="false">IF(B13="",0,SUMIFS(Payments!$J$8:$J$507,Payments!$C$8:$C$507,B13))</f>
        <v>0</v>
      </c>
      <c r="S13" s="9" t="str">
        <f aca="false">IF(OR(F13="Micro",F13="Small"),IF(H13="Yes",MIN(45,Q13),15),"")</f>
        <v/>
      </c>
    </row>
    <row r="14" customFormat="false" ht="15" hidden="false" customHeight="false" outlineLevel="0" collapsed="false">
      <c r="A14" s="40" t="str">
        <f aca="false">IF(B14="","",ROW()-6)</f>
        <v/>
      </c>
      <c r="B14" s="74"/>
      <c r="C14" s="75"/>
      <c r="D14" s="76"/>
      <c r="E14" s="77"/>
      <c r="F14" s="78"/>
      <c r="G14" s="75"/>
      <c r="H14" s="78"/>
      <c r="I14" s="46" t="str">
        <f aca="false">IF(B14="","",SUMIFS(Bills!$E$8:$E$507,Bills!$D$8:$D$507,B14))</f>
        <v/>
      </c>
      <c r="J14" s="46" t="str">
        <f aca="false">IF(B14="","",SUMIFS(Payments!$D$8:$D$507,Payments!$C$8:$C$507,B14))</f>
        <v/>
      </c>
      <c r="K14" s="47" t="str">
        <f aca="false">IF(B14="","",SUMIFS(Bills!$K$8:$K$507,Bills!$D$8:$D$507,B14)-MAX(0,R14-SUMIFS(Bills!$P$8:$P$507,Bills!$D$8:$D$507,B14)))</f>
        <v/>
      </c>
      <c r="L14" s="48" t="str">
        <f aca="false">IF(B14="","",SUMIFS(Bills!$K$8:$K$507,Bills!$D$8:$D$507,B14,Bills!$L$8:$L$507,"&gt;0"))</f>
        <v/>
      </c>
      <c r="M14" s="48" t="str">
        <f aca="false">IF(B14="","",SUMIFS(Bills!$K$8:$K$507,Bills!$D$8:$D$507,B14,Bills!$V$8:$V$507,"&lt;="&amp;Setup!$C$9))</f>
        <v/>
      </c>
      <c r="N14" s="49" t="str">
        <f aca="false">IF(B14="","",IF(K14&lt;0,"Advance paid",IF(N(M14)&gt;0,"⚠ MSME deadline",IF(N(L14)&gt;0,"Overdue",IF(K14&gt;0,"Within credit","✔ Clear")))))</f>
        <v/>
      </c>
      <c r="O14" s="50" t="str">
        <f aca="false">IF(B14="","",IF(COUNTIF($B$7:$B$106,B14)&gt;1,"⚠ Name used twice",IF(AND(OR(F14="Micro",F14="Small"),G14=""),"Add Udyam no.","✔")))</f>
        <v/>
      </c>
      <c r="Q14" s="9" t="n">
        <f aca="false">IF(B14="",0,IF(E14="",Setup!$C$7,E14))</f>
        <v>0</v>
      </c>
      <c r="R14" s="9" t="n">
        <f aca="false">IF(B14="",0,SUMIFS(Payments!$J$8:$J$507,Payments!$C$8:$C$507,B14))</f>
        <v>0</v>
      </c>
      <c r="S14" s="9" t="str">
        <f aca="false">IF(OR(F14="Micro",F14="Small"),IF(H14="Yes",MIN(45,Q14),15),"")</f>
        <v/>
      </c>
    </row>
    <row r="15" customFormat="false" ht="15" hidden="false" customHeight="false" outlineLevel="0" collapsed="false">
      <c r="A15" s="40" t="str">
        <f aca="false">IF(B15="","",ROW()-6)</f>
        <v/>
      </c>
      <c r="B15" s="74"/>
      <c r="C15" s="75"/>
      <c r="D15" s="76"/>
      <c r="E15" s="77"/>
      <c r="F15" s="78"/>
      <c r="G15" s="75"/>
      <c r="H15" s="78"/>
      <c r="I15" s="46" t="str">
        <f aca="false">IF(B15="","",SUMIFS(Bills!$E$8:$E$507,Bills!$D$8:$D$507,B15))</f>
        <v/>
      </c>
      <c r="J15" s="46" t="str">
        <f aca="false">IF(B15="","",SUMIFS(Payments!$D$8:$D$507,Payments!$C$8:$C$507,B15))</f>
        <v/>
      </c>
      <c r="K15" s="47" t="str">
        <f aca="false">IF(B15="","",SUMIFS(Bills!$K$8:$K$507,Bills!$D$8:$D$507,B15)-MAX(0,R15-SUMIFS(Bills!$P$8:$P$507,Bills!$D$8:$D$507,B15)))</f>
        <v/>
      </c>
      <c r="L15" s="48" t="str">
        <f aca="false">IF(B15="","",SUMIFS(Bills!$K$8:$K$507,Bills!$D$8:$D$507,B15,Bills!$L$8:$L$507,"&gt;0"))</f>
        <v/>
      </c>
      <c r="M15" s="48" t="str">
        <f aca="false">IF(B15="","",SUMIFS(Bills!$K$8:$K$507,Bills!$D$8:$D$507,B15,Bills!$V$8:$V$507,"&lt;="&amp;Setup!$C$9))</f>
        <v/>
      </c>
      <c r="N15" s="49" t="str">
        <f aca="false">IF(B15="","",IF(K15&lt;0,"Advance paid",IF(N(M15)&gt;0,"⚠ MSME deadline",IF(N(L15)&gt;0,"Overdue",IF(K15&gt;0,"Within credit","✔ Clear")))))</f>
        <v/>
      </c>
      <c r="O15" s="50" t="str">
        <f aca="false">IF(B15="","",IF(COUNTIF($B$7:$B$106,B15)&gt;1,"⚠ Name used twice",IF(AND(OR(F15="Micro",F15="Small"),G15=""),"Add Udyam no.","✔")))</f>
        <v/>
      </c>
      <c r="Q15" s="9" t="n">
        <f aca="false">IF(B15="",0,IF(E15="",Setup!$C$7,E15))</f>
        <v>0</v>
      </c>
      <c r="R15" s="9" t="n">
        <f aca="false">IF(B15="",0,SUMIFS(Payments!$J$8:$J$507,Payments!$C$8:$C$507,B15))</f>
        <v>0</v>
      </c>
      <c r="S15" s="9" t="str">
        <f aca="false">IF(OR(F15="Micro",F15="Small"),IF(H15="Yes",MIN(45,Q15),15),"")</f>
        <v/>
      </c>
    </row>
    <row r="16" customFormat="false" ht="15" hidden="false" customHeight="false" outlineLevel="0" collapsed="false">
      <c r="A16" s="40" t="str">
        <f aca="false">IF(B16="","",ROW()-6)</f>
        <v/>
      </c>
      <c r="B16" s="74"/>
      <c r="C16" s="75"/>
      <c r="D16" s="76"/>
      <c r="E16" s="77"/>
      <c r="F16" s="78"/>
      <c r="G16" s="75"/>
      <c r="H16" s="78"/>
      <c r="I16" s="46" t="str">
        <f aca="false">IF(B16="","",SUMIFS(Bills!$E$8:$E$507,Bills!$D$8:$D$507,B16))</f>
        <v/>
      </c>
      <c r="J16" s="46" t="str">
        <f aca="false">IF(B16="","",SUMIFS(Payments!$D$8:$D$507,Payments!$C$8:$C$507,B16))</f>
        <v/>
      </c>
      <c r="K16" s="47" t="str">
        <f aca="false">IF(B16="","",SUMIFS(Bills!$K$8:$K$507,Bills!$D$8:$D$507,B16)-MAX(0,R16-SUMIFS(Bills!$P$8:$P$507,Bills!$D$8:$D$507,B16)))</f>
        <v/>
      </c>
      <c r="L16" s="48" t="str">
        <f aca="false">IF(B16="","",SUMIFS(Bills!$K$8:$K$507,Bills!$D$8:$D$507,B16,Bills!$L$8:$L$507,"&gt;0"))</f>
        <v/>
      </c>
      <c r="M16" s="48" t="str">
        <f aca="false">IF(B16="","",SUMIFS(Bills!$K$8:$K$507,Bills!$D$8:$D$507,B16,Bills!$V$8:$V$507,"&lt;="&amp;Setup!$C$9))</f>
        <v/>
      </c>
      <c r="N16" s="49" t="str">
        <f aca="false">IF(B16="","",IF(K16&lt;0,"Advance paid",IF(N(M16)&gt;0,"⚠ MSME deadline",IF(N(L16)&gt;0,"Overdue",IF(K16&gt;0,"Within credit","✔ Clear")))))</f>
        <v/>
      </c>
      <c r="O16" s="50" t="str">
        <f aca="false">IF(B16="","",IF(COUNTIF($B$7:$B$106,B16)&gt;1,"⚠ Name used twice",IF(AND(OR(F16="Micro",F16="Small"),G16=""),"Add Udyam no.","✔")))</f>
        <v/>
      </c>
      <c r="Q16" s="9" t="n">
        <f aca="false">IF(B16="",0,IF(E16="",Setup!$C$7,E16))</f>
        <v>0</v>
      </c>
      <c r="R16" s="9" t="n">
        <f aca="false">IF(B16="",0,SUMIFS(Payments!$J$8:$J$507,Payments!$C$8:$C$507,B16))</f>
        <v>0</v>
      </c>
      <c r="S16" s="9" t="str">
        <f aca="false">IF(OR(F16="Micro",F16="Small"),IF(H16="Yes",MIN(45,Q16),15),"")</f>
        <v/>
      </c>
    </row>
    <row r="17" customFormat="false" ht="15" hidden="false" customHeight="false" outlineLevel="0" collapsed="false">
      <c r="A17" s="40" t="str">
        <f aca="false">IF(B17="","",ROW()-6)</f>
        <v/>
      </c>
      <c r="B17" s="74"/>
      <c r="C17" s="75"/>
      <c r="D17" s="76"/>
      <c r="E17" s="77"/>
      <c r="F17" s="78"/>
      <c r="G17" s="75"/>
      <c r="H17" s="78"/>
      <c r="I17" s="46" t="str">
        <f aca="false">IF(B17="","",SUMIFS(Bills!$E$8:$E$507,Bills!$D$8:$D$507,B17))</f>
        <v/>
      </c>
      <c r="J17" s="46" t="str">
        <f aca="false">IF(B17="","",SUMIFS(Payments!$D$8:$D$507,Payments!$C$8:$C$507,B17))</f>
        <v/>
      </c>
      <c r="K17" s="47" t="str">
        <f aca="false">IF(B17="","",SUMIFS(Bills!$K$8:$K$507,Bills!$D$8:$D$507,B17)-MAX(0,R17-SUMIFS(Bills!$P$8:$P$507,Bills!$D$8:$D$507,B17)))</f>
        <v/>
      </c>
      <c r="L17" s="48" t="str">
        <f aca="false">IF(B17="","",SUMIFS(Bills!$K$8:$K$507,Bills!$D$8:$D$507,B17,Bills!$L$8:$L$507,"&gt;0"))</f>
        <v/>
      </c>
      <c r="M17" s="48" t="str">
        <f aca="false">IF(B17="","",SUMIFS(Bills!$K$8:$K$507,Bills!$D$8:$D$507,B17,Bills!$V$8:$V$507,"&lt;="&amp;Setup!$C$9))</f>
        <v/>
      </c>
      <c r="N17" s="49" t="str">
        <f aca="false">IF(B17="","",IF(K17&lt;0,"Advance paid",IF(N(M17)&gt;0,"⚠ MSME deadline",IF(N(L17)&gt;0,"Overdue",IF(K17&gt;0,"Within credit","✔ Clear")))))</f>
        <v/>
      </c>
      <c r="O17" s="50" t="str">
        <f aca="false">IF(B17="","",IF(COUNTIF($B$7:$B$106,B17)&gt;1,"⚠ Name used twice",IF(AND(OR(F17="Micro",F17="Small"),G17=""),"Add Udyam no.","✔")))</f>
        <v/>
      </c>
      <c r="Q17" s="9" t="n">
        <f aca="false">IF(B17="",0,IF(E17="",Setup!$C$7,E17))</f>
        <v>0</v>
      </c>
      <c r="R17" s="9" t="n">
        <f aca="false">IF(B17="",0,SUMIFS(Payments!$J$8:$J$507,Payments!$C$8:$C$507,B17))</f>
        <v>0</v>
      </c>
      <c r="S17" s="9" t="str">
        <f aca="false">IF(OR(F17="Micro",F17="Small"),IF(H17="Yes",MIN(45,Q17),15),"")</f>
        <v/>
      </c>
    </row>
    <row r="18" customFormat="false" ht="15" hidden="false" customHeight="false" outlineLevel="0" collapsed="false">
      <c r="A18" s="40" t="str">
        <f aca="false">IF(B18="","",ROW()-6)</f>
        <v/>
      </c>
      <c r="B18" s="74"/>
      <c r="C18" s="75"/>
      <c r="D18" s="76"/>
      <c r="E18" s="77"/>
      <c r="F18" s="78"/>
      <c r="G18" s="75"/>
      <c r="H18" s="78"/>
      <c r="I18" s="46" t="str">
        <f aca="false">IF(B18="","",SUMIFS(Bills!$E$8:$E$507,Bills!$D$8:$D$507,B18))</f>
        <v/>
      </c>
      <c r="J18" s="46" t="str">
        <f aca="false">IF(B18="","",SUMIFS(Payments!$D$8:$D$507,Payments!$C$8:$C$507,B18))</f>
        <v/>
      </c>
      <c r="K18" s="47" t="str">
        <f aca="false">IF(B18="","",SUMIFS(Bills!$K$8:$K$507,Bills!$D$8:$D$507,B18)-MAX(0,R18-SUMIFS(Bills!$P$8:$P$507,Bills!$D$8:$D$507,B18)))</f>
        <v/>
      </c>
      <c r="L18" s="48" t="str">
        <f aca="false">IF(B18="","",SUMIFS(Bills!$K$8:$K$507,Bills!$D$8:$D$507,B18,Bills!$L$8:$L$507,"&gt;0"))</f>
        <v/>
      </c>
      <c r="M18" s="48" t="str">
        <f aca="false">IF(B18="","",SUMIFS(Bills!$K$8:$K$507,Bills!$D$8:$D$507,B18,Bills!$V$8:$V$507,"&lt;="&amp;Setup!$C$9))</f>
        <v/>
      </c>
      <c r="N18" s="49" t="str">
        <f aca="false">IF(B18="","",IF(K18&lt;0,"Advance paid",IF(N(M18)&gt;0,"⚠ MSME deadline",IF(N(L18)&gt;0,"Overdue",IF(K18&gt;0,"Within credit","✔ Clear")))))</f>
        <v/>
      </c>
      <c r="O18" s="50" t="str">
        <f aca="false">IF(B18="","",IF(COUNTIF($B$7:$B$106,B18)&gt;1,"⚠ Name used twice",IF(AND(OR(F18="Micro",F18="Small"),G18=""),"Add Udyam no.","✔")))</f>
        <v/>
      </c>
      <c r="Q18" s="9" t="n">
        <f aca="false">IF(B18="",0,IF(E18="",Setup!$C$7,E18))</f>
        <v>0</v>
      </c>
      <c r="R18" s="9" t="n">
        <f aca="false">IF(B18="",0,SUMIFS(Payments!$J$8:$J$507,Payments!$C$8:$C$507,B18))</f>
        <v>0</v>
      </c>
      <c r="S18" s="9" t="str">
        <f aca="false">IF(OR(F18="Micro",F18="Small"),IF(H18="Yes",MIN(45,Q18),15),"")</f>
        <v/>
      </c>
    </row>
    <row r="19" customFormat="false" ht="15" hidden="false" customHeight="false" outlineLevel="0" collapsed="false">
      <c r="A19" s="40" t="str">
        <f aca="false">IF(B19="","",ROW()-6)</f>
        <v/>
      </c>
      <c r="B19" s="74"/>
      <c r="C19" s="75"/>
      <c r="D19" s="76"/>
      <c r="E19" s="77"/>
      <c r="F19" s="78"/>
      <c r="G19" s="75"/>
      <c r="H19" s="78"/>
      <c r="I19" s="46" t="str">
        <f aca="false">IF(B19="","",SUMIFS(Bills!$E$8:$E$507,Bills!$D$8:$D$507,B19))</f>
        <v/>
      </c>
      <c r="J19" s="46" t="str">
        <f aca="false">IF(B19="","",SUMIFS(Payments!$D$8:$D$507,Payments!$C$8:$C$507,B19))</f>
        <v/>
      </c>
      <c r="K19" s="47" t="str">
        <f aca="false">IF(B19="","",SUMIFS(Bills!$K$8:$K$507,Bills!$D$8:$D$507,B19)-MAX(0,R19-SUMIFS(Bills!$P$8:$P$507,Bills!$D$8:$D$507,B19)))</f>
        <v/>
      </c>
      <c r="L19" s="48" t="str">
        <f aca="false">IF(B19="","",SUMIFS(Bills!$K$8:$K$507,Bills!$D$8:$D$507,B19,Bills!$L$8:$L$507,"&gt;0"))</f>
        <v/>
      </c>
      <c r="M19" s="48" t="str">
        <f aca="false">IF(B19="","",SUMIFS(Bills!$K$8:$K$507,Bills!$D$8:$D$507,B19,Bills!$V$8:$V$507,"&lt;="&amp;Setup!$C$9))</f>
        <v/>
      </c>
      <c r="N19" s="49" t="str">
        <f aca="false">IF(B19="","",IF(K19&lt;0,"Advance paid",IF(N(M19)&gt;0,"⚠ MSME deadline",IF(N(L19)&gt;0,"Overdue",IF(K19&gt;0,"Within credit","✔ Clear")))))</f>
        <v/>
      </c>
      <c r="O19" s="50" t="str">
        <f aca="false">IF(B19="","",IF(COUNTIF($B$7:$B$106,B19)&gt;1,"⚠ Name used twice",IF(AND(OR(F19="Micro",F19="Small"),G19=""),"Add Udyam no.","✔")))</f>
        <v/>
      </c>
      <c r="Q19" s="9" t="n">
        <f aca="false">IF(B19="",0,IF(E19="",Setup!$C$7,E19))</f>
        <v>0</v>
      </c>
      <c r="R19" s="9" t="n">
        <f aca="false">IF(B19="",0,SUMIFS(Payments!$J$8:$J$507,Payments!$C$8:$C$507,B19))</f>
        <v>0</v>
      </c>
      <c r="S19" s="9" t="str">
        <f aca="false">IF(OR(F19="Micro",F19="Small"),IF(H19="Yes",MIN(45,Q19),15),"")</f>
        <v/>
      </c>
    </row>
    <row r="20" customFormat="false" ht="15" hidden="false" customHeight="false" outlineLevel="0" collapsed="false">
      <c r="A20" s="40" t="str">
        <f aca="false">IF(B20="","",ROW()-6)</f>
        <v/>
      </c>
      <c r="B20" s="74"/>
      <c r="C20" s="75"/>
      <c r="D20" s="76"/>
      <c r="E20" s="77"/>
      <c r="F20" s="78"/>
      <c r="G20" s="75"/>
      <c r="H20" s="78"/>
      <c r="I20" s="46" t="str">
        <f aca="false">IF(B20="","",SUMIFS(Bills!$E$8:$E$507,Bills!$D$8:$D$507,B20))</f>
        <v/>
      </c>
      <c r="J20" s="46" t="str">
        <f aca="false">IF(B20="","",SUMIFS(Payments!$D$8:$D$507,Payments!$C$8:$C$507,B20))</f>
        <v/>
      </c>
      <c r="K20" s="47" t="str">
        <f aca="false">IF(B20="","",SUMIFS(Bills!$K$8:$K$507,Bills!$D$8:$D$507,B20)-MAX(0,R20-SUMIFS(Bills!$P$8:$P$507,Bills!$D$8:$D$507,B20)))</f>
        <v/>
      </c>
      <c r="L20" s="48" t="str">
        <f aca="false">IF(B20="","",SUMIFS(Bills!$K$8:$K$507,Bills!$D$8:$D$507,B20,Bills!$L$8:$L$507,"&gt;0"))</f>
        <v/>
      </c>
      <c r="M20" s="48" t="str">
        <f aca="false">IF(B20="","",SUMIFS(Bills!$K$8:$K$507,Bills!$D$8:$D$507,B20,Bills!$V$8:$V$507,"&lt;="&amp;Setup!$C$9))</f>
        <v/>
      </c>
      <c r="N20" s="49" t="str">
        <f aca="false">IF(B20="","",IF(K20&lt;0,"Advance paid",IF(N(M20)&gt;0,"⚠ MSME deadline",IF(N(L20)&gt;0,"Overdue",IF(K20&gt;0,"Within credit","✔ Clear")))))</f>
        <v/>
      </c>
      <c r="O20" s="50" t="str">
        <f aca="false">IF(B20="","",IF(COUNTIF($B$7:$B$106,B20)&gt;1,"⚠ Name used twice",IF(AND(OR(F20="Micro",F20="Small"),G20=""),"Add Udyam no.","✔")))</f>
        <v/>
      </c>
      <c r="Q20" s="9" t="n">
        <f aca="false">IF(B20="",0,IF(E20="",Setup!$C$7,E20))</f>
        <v>0</v>
      </c>
      <c r="R20" s="9" t="n">
        <f aca="false">IF(B20="",0,SUMIFS(Payments!$J$8:$J$507,Payments!$C$8:$C$507,B20))</f>
        <v>0</v>
      </c>
      <c r="S20" s="9" t="str">
        <f aca="false">IF(OR(F20="Micro",F20="Small"),IF(H20="Yes",MIN(45,Q20),15),"")</f>
        <v/>
      </c>
    </row>
    <row r="21" customFormat="false" ht="15" hidden="false" customHeight="false" outlineLevel="0" collapsed="false">
      <c r="A21" s="40" t="str">
        <f aca="false">IF(B21="","",ROW()-6)</f>
        <v/>
      </c>
      <c r="B21" s="74"/>
      <c r="C21" s="75"/>
      <c r="D21" s="76"/>
      <c r="E21" s="77"/>
      <c r="F21" s="78"/>
      <c r="G21" s="75"/>
      <c r="H21" s="78"/>
      <c r="I21" s="46" t="str">
        <f aca="false">IF(B21="","",SUMIFS(Bills!$E$8:$E$507,Bills!$D$8:$D$507,B21))</f>
        <v/>
      </c>
      <c r="J21" s="46" t="str">
        <f aca="false">IF(B21="","",SUMIFS(Payments!$D$8:$D$507,Payments!$C$8:$C$507,B21))</f>
        <v/>
      </c>
      <c r="K21" s="47" t="str">
        <f aca="false">IF(B21="","",SUMIFS(Bills!$K$8:$K$507,Bills!$D$8:$D$507,B21)-MAX(0,R21-SUMIFS(Bills!$P$8:$P$507,Bills!$D$8:$D$507,B21)))</f>
        <v/>
      </c>
      <c r="L21" s="48" t="str">
        <f aca="false">IF(B21="","",SUMIFS(Bills!$K$8:$K$507,Bills!$D$8:$D$507,B21,Bills!$L$8:$L$507,"&gt;0"))</f>
        <v/>
      </c>
      <c r="M21" s="48" t="str">
        <f aca="false">IF(B21="","",SUMIFS(Bills!$K$8:$K$507,Bills!$D$8:$D$507,B21,Bills!$V$8:$V$507,"&lt;="&amp;Setup!$C$9))</f>
        <v/>
      </c>
      <c r="N21" s="49" t="str">
        <f aca="false">IF(B21="","",IF(K21&lt;0,"Advance paid",IF(N(M21)&gt;0,"⚠ MSME deadline",IF(N(L21)&gt;0,"Overdue",IF(K21&gt;0,"Within credit","✔ Clear")))))</f>
        <v/>
      </c>
      <c r="O21" s="50" t="str">
        <f aca="false">IF(B21="","",IF(COUNTIF($B$7:$B$106,B21)&gt;1,"⚠ Name used twice",IF(AND(OR(F21="Micro",F21="Small"),G21=""),"Add Udyam no.","✔")))</f>
        <v/>
      </c>
      <c r="Q21" s="9" t="n">
        <f aca="false">IF(B21="",0,IF(E21="",Setup!$C$7,E21))</f>
        <v>0</v>
      </c>
      <c r="R21" s="9" t="n">
        <f aca="false">IF(B21="",0,SUMIFS(Payments!$J$8:$J$507,Payments!$C$8:$C$507,B21))</f>
        <v>0</v>
      </c>
      <c r="S21" s="9" t="str">
        <f aca="false">IF(OR(F21="Micro",F21="Small"),IF(H21="Yes",MIN(45,Q21),15),"")</f>
        <v/>
      </c>
    </row>
    <row r="22" customFormat="false" ht="15" hidden="false" customHeight="false" outlineLevel="0" collapsed="false">
      <c r="A22" s="40" t="str">
        <f aca="false">IF(B22="","",ROW()-6)</f>
        <v/>
      </c>
      <c r="B22" s="74"/>
      <c r="C22" s="75"/>
      <c r="D22" s="76"/>
      <c r="E22" s="77"/>
      <c r="F22" s="78"/>
      <c r="G22" s="75"/>
      <c r="H22" s="78"/>
      <c r="I22" s="46" t="str">
        <f aca="false">IF(B22="","",SUMIFS(Bills!$E$8:$E$507,Bills!$D$8:$D$507,B22))</f>
        <v/>
      </c>
      <c r="J22" s="46" t="str">
        <f aca="false">IF(B22="","",SUMIFS(Payments!$D$8:$D$507,Payments!$C$8:$C$507,B22))</f>
        <v/>
      </c>
      <c r="K22" s="47" t="str">
        <f aca="false">IF(B22="","",SUMIFS(Bills!$K$8:$K$507,Bills!$D$8:$D$507,B22)-MAX(0,R22-SUMIFS(Bills!$P$8:$P$507,Bills!$D$8:$D$507,B22)))</f>
        <v/>
      </c>
      <c r="L22" s="48" t="str">
        <f aca="false">IF(B22="","",SUMIFS(Bills!$K$8:$K$507,Bills!$D$8:$D$507,B22,Bills!$L$8:$L$507,"&gt;0"))</f>
        <v/>
      </c>
      <c r="M22" s="48" t="str">
        <f aca="false">IF(B22="","",SUMIFS(Bills!$K$8:$K$507,Bills!$D$8:$D$507,B22,Bills!$V$8:$V$507,"&lt;="&amp;Setup!$C$9))</f>
        <v/>
      </c>
      <c r="N22" s="49" t="str">
        <f aca="false">IF(B22="","",IF(K22&lt;0,"Advance paid",IF(N(M22)&gt;0,"⚠ MSME deadline",IF(N(L22)&gt;0,"Overdue",IF(K22&gt;0,"Within credit","✔ Clear")))))</f>
        <v/>
      </c>
      <c r="O22" s="50" t="str">
        <f aca="false">IF(B22="","",IF(COUNTIF($B$7:$B$106,B22)&gt;1,"⚠ Name used twice",IF(AND(OR(F22="Micro",F22="Small"),G22=""),"Add Udyam no.","✔")))</f>
        <v/>
      </c>
      <c r="Q22" s="9" t="n">
        <f aca="false">IF(B22="",0,IF(E22="",Setup!$C$7,E22))</f>
        <v>0</v>
      </c>
      <c r="R22" s="9" t="n">
        <f aca="false">IF(B22="",0,SUMIFS(Payments!$J$8:$J$507,Payments!$C$8:$C$507,B22))</f>
        <v>0</v>
      </c>
      <c r="S22" s="9" t="str">
        <f aca="false">IF(OR(F22="Micro",F22="Small"),IF(H22="Yes",MIN(45,Q22),15),"")</f>
        <v/>
      </c>
    </row>
    <row r="23" customFormat="false" ht="15" hidden="false" customHeight="false" outlineLevel="0" collapsed="false">
      <c r="A23" s="40" t="str">
        <f aca="false">IF(B23="","",ROW()-6)</f>
        <v/>
      </c>
      <c r="B23" s="74"/>
      <c r="C23" s="75"/>
      <c r="D23" s="76"/>
      <c r="E23" s="77"/>
      <c r="F23" s="78"/>
      <c r="G23" s="75"/>
      <c r="H23" s="78"/>
      <c r="I23" s="46" t="str">
        <f aca="false">IF(B23="","",SUMIFS(Bills!$E$8:$E$507,Bills!$D$8:$D$507,B23))</f>
        <v/>
      </c>
      <c r="J23" s="46" t="str">
        <f aca="false">IF(B23="","",SUMIFS(Payments!$D$8:$D$507,Payments!$C$8:$C$507,B23))</f>
        <v/>
      </c>
      <c r="K23" s="47" t="str">
        <f aca="false">IF(B23="","",SUMIFS(Bills!$K$8:$K$507,Bills!$D$8:$D$507,B23)-MAX(0,R23-SUMIFS(Bills!$P$8:$P$507,Bills!$D$8:$D$507,B23)))</f>
        <v/>
      </c>
      <c r="L23" s="48" t="str">
        <f aca="false">IF(B23="","",SUMIFS(Bills!$K$8:$K$507,Bills!$D$8:$D$507,B23,Bills!$L$8:$L$507,"&gt;0"))</f>
        <v/>
      </c>
      <c r="M23" s="48" t="str">
        <f aca="false">IF(B23="","",SUMIFS(Bills!$K$8:$K$507,Bills!$D$8:$D$507,B23,Bills!$V$8:$V$507,"&lt;="&amp;Setup!$C$9))</f>
        <v/>
      </c>
      <c r="N23" s="49" t="str">
        <f aca="false">IF(B23="","",IF(K23&lt;0,"Advance paid",IF(N(M23)&gt;0,"⚠ MSME deadline",IF(N(L23)&gt;0,"Overdue",IF(K23&gt;0,"Within credit","✔ Clear")))))</f>
        <v/>
      </c>
      <c r="O23" s="50" t="str">
        <f aca="false">IF(B23="","",IF(COUNTIF($B$7:$B$106,B23)&gt;1,"⚠ Name used twice",IF(AND(OR(F23="Micro",F23="Small"),G23=""),"Add Udyam no.","✔")))</f>
        <v/>
      </c>
      <c r="Q23" s="9" t="n">
        <f aca="false">IF(B23="",0,IF(E23="",Setup!$C$7,E23))</f>
        <v>0</v>
      </c>
      <c r="R23" s="9" t="n">
        <f aca="false">IF(B23="",0,SUMIFS(Payments!$J$8:$J$507,Payments!$C$8:$C$507,B23))</f>
        <v>0</v>
      </c>
      <c r="S23" s="9" t="str">
        <f aca="false">IF(OR(F23="Micro",F23="Small"),IF(H23="Yes",MIN(45,Q23),15),"")</f>
        <v/>
      </c>
    </row>
    <row r="24" customFormat="false" ht="15" hidden="false" customHeight="false" outlineLevel="0" collapsed="false">
      <c r="A24" s="40" t="str">
        <f aca="false">IF(B24="","",ROW()-6)</f>
        <v/>
      </c>
      <c r="B24" s="74"/>
      <c r="C24" s="75"/>
      <c r="D24" s="76"/>
      <c r="E24" s="77"/>
      <c r="F24" s="78"/>
      <c r="G24" s="75"/>
      <c r="H24" s="78"/>
      <c r="I24" s="46" t="str">
        <f aca="false">IF(B24="","",SUMIFS(Bills!$E$8:$E$507,Bills!$D$8:$D$507,B24))</f>
        <v/>
      </c>
      <c r="J24" s="46" t="str">
        <f aca="false">IF(B24="","",SUMIFS(Payments!$D$8:$D$507,Payments!$C$8:$C$507,B24))</f>
        <v/>
      </c>
      <c r="K24" s="47" t="str">
        <f aca="false">IF(B24="","",SUMIFS(Bills!$K$8:$K$507,Bills!$D$8:$D$507,B24)-MAX(0,R24-SUMIFS(Bills!$P$8:$P$507,Bills!$D$8:$D$507,B24)))</f>
        <v/>
      </c>
      <c r="L24" s="48" t="str">
        <f aca="false">IF(B24="","",SUMIFS(Bills!$K$8:$K$507,Bills!$D$8:$D$507,B24,Bills!$L$8:$L$507,"&gt;0"))</f>
        <v/>
      </c>
      <c r="M24" s="48" t="str">
        <f aca="false">IF(B24="","",SUMIFS(Bills!$K$8:$K$507,Bills!$D$8:$D$507,B24,Bills!$V$8:$V$507,"&lt;="&amp;Setup!$C$9))</f>
        <v/>
      </c>
      <c r="N24" s="49" t="str">
        <f aca="false">IF(B24="","",IF(K24&lt;0,"Advance paid",IF(N(M24)&gt;0,"⚠ MSME deadline",IF(N(L24)&gt;0,"Overdue",IF(K24&gt;0,"Within credit","✔ Clear")))))</f>
        <v/>
      </c>
      <c r="O24" s="50" t="str">
        <f aca="false">IF(B24="","",IF(COUNTIF($B$7:$B$106,B24)&gt;1,"⚠ Name used twice",IF(AND(OR(F24="Micro",F24="Small"),G24=""),"Add Udyam no.","✔")))</f>
        <v/>
      </c>
      <c r="Q24" s="9" t="n">
        <f aca="false">IF(B24="",0,IF(E24="",Setup!$C$7,E24))</f>
        <v>0</v>
      </c>
      <c r="R24" s="9" t="n">
        <f aca="false">IF(B24="",0,SUMIFS(Payments!$J$8:$J$507,Payments!$C$8:$C$507,B24))</f>
        <v>0</v>
      </c>
      <c r="S24" s="9" t="str">
        <f aca="false">IF(OR(F24="Micro",F24="Small"),IF(H24="Yes",MIN(45,Q24),15),"")</f>
        <v/>
      </c>
    </row>
    <row r="25" customFormat="false" ht="15" hidden="false" customHeight="false" outlineLevel="0" collapsed="false">
      <c r="A25" s="40" t="str">
        <f aca="false">IF(B25="","",ROW()-6)</f>
        <v/>
      </c>
      <c r="B25" s="74"/>
      <c r="C25" s="75"/>
      <c r="D25" s="76"/>
      <c r="E25" s="77"/>
      <c r="F25" s="78"/>
      <c r="G25" s="75"/>
      <c r="H25" s="78"/>
      <c r="I25" s="46" t="str">
        <f aca="false">IF(B25="","",SUMIFS(Bills!$E$8:$E$507,Bills!$D$8:$D$507,B25))</f>
        <v/>
      </c>
      <c r="J25" s="46" t="str">
        <f aca="false">IF(B25="","",SUMIFS(Payments!$D$8:$D$507,Payments!$C$8:$C$507,B25))</f>
        <v/>
      </c>
      <c r="K25" s="47" t="str">
        <f aca="false">IF(B25="","",SUMIFS(Bills!$K$8:$K$507,Bills!$D$8:$D$507,B25)-MAX(0,R25-SUMIFS(Bills!$P$8:$P$507,Bills!$D$8:$D$507,B25)))</f>
        <v/>
      </c>
      <c r="L25" s="48" t="str">
        <f aca="false">IF(B25="","",SUMIFS(Bills!$K$8:$K$507,Bills!$D$8:$D$507,B25,Bills!$L$8:$L$507,"&gt;0"))</f>
        <v/>
      </c>
      <c r="M25" s="48" t="str">
        <f aca="false">IF(B25="","",SUMIFS(Bills!$K$8:$K$507,Bills!$D$8:$D$507,B25,Bills!$V$8:$V$507,"&lt;="&amp;Setup!$C$9))</f>
        <v/>
      </c>
      <c r="N25" s="49" t="str">
        <f aca="false">IF(B25="","",IF(K25&lt;0,"Advance paid",IF(N(M25)&gt;0,"⚠ MSME deadline",IF(N(L25)&gt;0,"Overdue",IF(K25&gt;0,"Within credit","✔ Clear")))))</f>
        <v/>
      </c>
      <c r="O25" s="50" t="str">
        <f aca="false">IF(B25="","",IF(COUNTIF($B$7:$B$106,B25)&gt;1,"⚠ Name used twice",IF(AND(OR(F25="Micro",F25="Small"),G25=""),"Add Udyam no.","✔")))</f>
        <v/>
      </c>
      <c r="Q25" s="9" t="n">
        <f aca="false">IF(B25="",0,IF(E25="",Setup!$C$7,E25))</f>
        <v>0</v>
      </c>
      <c r="R25" s="9" t="n">
        <f aca="false">IF(B25="",0,SUMIFS(Payments!$J$8:$J$507,Payments!$C$8:$C$507,B25))</f>
        <v>0</v>
      </c>
      <c r="S25" s="9" t="str">
        <f aca="false">IF(OR(F25="Micro",F25="Small"),IF(H25="Yes",MIN(45,Q25),15),"")</f>
        <v/>
      </c>
    </row>
    <row r="26" customFormat="false" ht="15" hidden="false" customHeight="false" outlineLevel="0" collapsed="false">
      <c r="A26" s="40" t="str">
        <f aca="false">IF(B26="","",ROW()-6)</f>
        <v/>
      </c>
      <c r="B26" s="74"/>
      <c r="C26" s="75"/>
      <c r="D26" s="76"/>
      <c r="E26" s="77"/>
      <c r="F26" s="78"/>
      <c r="G26" s="75"/>
      <c r="H26" s="78"/>
      <c r="I26" s="46" t="str">
        <f aca="false">IF(B26="","",SUMIFS(Bills!$E$8:$E$507,Bills!$D$8:$D$507,B26))</f>
        <v/>
      </c>
      <c r="J26" s="46" t="str">
        <f aca="false">IF(B26="","",SUMIFS(Payments!$D$8:$D$507,Payments!$C$8:$C$507,B26))</f>
        <v/>
      </c>
      <c r="K26" s="47" t="str">
        <f aca="false">IF(B26="","",SUMIFS(Bills!$K$8:$K$507,Bills!$D$8:$D$507,B26)-MAX(0,R26-SUMIFS(Bills!$P$8:$P$507,Bills!$D$8:$D$507,B26)))</f>
        <v/>
      </c>
      <c r="L26" s="48" t="str">
        <f aca="false">IF(B26="","",SUMIFS(Bills!$K$8:$K$507,Bills!$D$8:$D$507,B26,Bills!$L$8:$L$507,"&gt;0"))</f>
        <v/>
      </c>
      <c r="M26" s="48" t="str">
        <f aca="false">IF(B26="","",SUMIFS(Bills!$K$8:$K$507,Bills!$D$8:$D$507,B26,Bills!$V$8:$V$507,"&lt;="&amp;Setup!$C$9))</f>
        <v/>
      </c>
      <c r="N26" s="49" t="str">
        <f aca="false">IF(B26="","",IF(K26&lt;0,"Advance paid",IF(N(M26)&gt;0,"⚠ MSME deadline",IF(N(L26)&gt;0,"Overdue",IF(K26&gt;0,"Within credit","✔ Clear")))))</f>
        <v/>
      </c>
      <c r="O26" s="50" t="str">
        <f aca="false">IF(B26="","",IF(COUNTIF($B$7:$B$106,B26)&gt;1,"⚠ Name used twice",IF(AND(OR(F26="Micro",F26="Small"),G26=""),"Add Udyam no.","✔")))</f>
        <v/>
      </c>
      <c r="Q26" s="9" t="n">
        <f aca="false">IF(B26="",0,IF(E26="",Setup!$C$7,E26))</f>
        <v>0</v>
      </c>
      <c r="R26" s="9" t="n">
        <f aca="false">IF(B26="",0,SUMIFS(Payments!$J$8:$J$507,Payments!$C$8:$C$507,B26))</f>
        <v>0</v>
      </c>
      <c r="S26" s="9" t="str">
        <f aca="false">IF(OR(F26="Micro",F26="Small"),IF(H26="Yes",MIN(45,Q26),15),"")</f>
        <v/>
      </c>
    </row>
    <row r="27" customFormat="false" ht="15" hidden="false" customHeight="false" outlineLevel="0" collapsed="false">
      <c r="A27" s="40" t="str">
        <f aca="false">IF(B27="","",ROW()-6)</f>
        <v/>
      </c>
      <c r="B27" s="74"/>
      <c r="C27" s="75"/>
      <c r="D27" s="76"/>
      <c r="E27" s="77"/>
      <c r="F27" s="78"/>
      <c r="G27" s="75"/>
      <c r="H27" s="78"/>
      <c r="I27" s="46" t="str">
        <f aca="false">IF(B27="","",SUMIFS(Bills!$E$8:$E$507,Bills!$D$8:$D$507,B27))</f>
        <v/>
      </c>
      <c r="J27" s="46" t="str">
        <f aca="false">IF(B27="","",SUMIFS(Payments!$D$8:$D$507,Payments!$C$8:$C$507,B27))</f>
        <v/>
      </c>
      <c r="K27" s="47" t="str">
        <f aca="false">IF(B27="","",SUMIFS(Bills!$K$8:$K$507,Bills!$D$8:$D$507,B27)-MAX(0,R27-SUMIFS(Bills!$P$8:$P$507,Bills!$D$8:$D$507,B27)))</f>
        <v/>
      </c>
      <c r="L27" s="48" t="str">
        <f aca="false">IF(B27="","",SUMIFS(Bills!$K$8:$K$507,Bills!$D$8:$D$507,B27,Bills!$L$8:$L$507,"&gt;0"))</f>
        <v/>
      </c>
      <c r="M27" s="48" t="str">
        <f aca="false">IF(B27="","",SUMIFS(Bills!$K$8:$K$507,Bills!$D$8:$D$507,B27,Bills!$V$8:$V$507,"&lt;="&amp;Setup!$C$9))</f>
        <v/>
      </c>
      <c r="N27" s="49" t="str">
        <f aca="false">IF(B27="","",IF(K27&lt;0,"Advance paid",IF(N(M27)&gt;0,"⚠ MSME deadline",IF(N(L27)&gt;0,"Overdue",IF(K27&gt;0,"Within credit","✔ Clear")))))</f>
        <v/>
      </c>
      <c r="O27" s="50" t="str">
        <f aca="false">IF(B27="","",IF(COUNTIF($B$7:$B$106,B27)&gt;1,"⚠ Name used twice",IF(AND(OR(F27="Micro",F27="Small"),G27=""),"Add Udyam no.","✔")))</f>
        <v/>
      </c>
      <c r="Q27" s="9" t="n">
        <f aca="false">IF(B27="",0,IF(E27="",Setup!$C$7,E27))</f>
        <v>0</v>
      </c>
      <c r="R27" s="9" t="n">
        <f aca="false">IF(B27="",0,SUMIFS(Payments!$J$8:$J$507,Payments!$C$8:$C$507,B27))</f>
        <v>0</v>
      </c>
      <c r="S27" s="9" t="str">
        <f aca="false">IF(OR(F27="Micro",F27="Small"),IF(H27="Yes",MIN(45,Q27),15),"")</f>
        <v/>
      </c>
    </row>
    <row r="28" customFormat="false" ht="15" hidden="false" customHeight="false" outlineLevel="0" collapsed="false">
      <c r="A28" s="40" t="str">
        <f aca="false">IF(B28="","",ROW()-6)</f>
        <v/>
      </c>
      <c r="B28" s="74"/>
      <c r="C28" s="75"/>
      <c r="D28" s="76"/>
      <c r="E28" s="77"/>
      <c r="F28" s="78"/>
      <c r="G28" s="75"/>
      <c r="H28" s="78"/>
      <c r="I28" s="46" t="str">
        <f aca="false">IF(B28="","",SUMIFS(Bills!$E$8:$E$507,Bills!$D$8:$D$507,B28))</f>
        <v/>
      </c>
      <c r="J28" s="46" t="str">
        <f aca="false">IF(B28="","",SUMIFS(Payments!$D$8:$D$507,Payments!$C$8:$C$507,B28))</f>
        <v/>
      </c>
      <c r="K28" s="47" t="str">
        <f aca="false">IF(B28="","",SUMIFS(Bills!$K$8:$K$507,Bills!$D$8:$D$507,B28)-MAX(0,R28-SUMIFS(Bills!$P$8:$P$507,Bills!$D$8:$D$507,B28)))</f>
        <v/>
      </c>
      <c r="L28" s="48" t="str">
        <f aca="false">IF(B28="","",SUMIFS(Bills!$K$8:$K$507,Bills!$D$8:$D$507,B28,Bills!$L$8:$L$507,"&gt;0"))</f>
        <v/>
      </c>
      <c r="M28" s="48" t="str">
        <f aca="false">IF(B28="","",SUMIFS(Bills!$K$8:$K$507,Bills!$D$8:$D$507,B28,Bills!$V$8:$V$507,"&lt;="&amp;Setup!$C$9))</f>
        <v/>
      </c>
      <c r="N28" s="49" t="str">
        <f aca="false">IF(B28="","",IF(K28&lt;0,"Advance paid",IF(N(M28)&gt;0,"⚠ MSME deadline",IF(N(L28)&gt;0,"Overdue",IF(K28&gt;0,"Within credit","✔ Clear")))))</f>
        <v/>
      </c>
      <c r="O28" s="50" t="str">
        <f aca="false">IF(B28="","",IF(COUNTIF($B$7:$B$106,B28)&gt;1,"⚠ Name used twice",IF(AND(OR(F28="Micro",F28="Small"),G28=""),"Add Udyam no.","✔")))</f>
        <v/>
      </c>
      <c r="Q28" s="9" t="n">
        <f aca="false">IF(B28="",0,IF(E28="",Setup!$C$7,E28))</f>
        <v>0</v>
      </c>
      <c r="R28" s="9" t="n">
        <f aca="false">IF(B28="",0,SUMIFS(Payments!$J$8:$J$507,Payments!$C$8:$C$507,B28))</f>
        <v>0</v>
      </c>
      <c r="S28" s="9" t="str">
        <f aca="false">IF(OR(F28="Micro",F28="Small"),IF(H28="Yes",MIN(45,Q28),15),"")</f>
        <v/>
      </c>
    </row>
    <row r="29" customFormat="false" ht="15" hidden="false" customHeight="false" outlineLevel="0" collapsed="false">
      <c r="A29" s="40" t="str">
        <f aca="false">IF(B29="","",ROW()-6)</f>
        <v/>
      </c>
      <c r="B29" s="74"/>
      <c r="C29" s="75"/>
      <c r="D29" s="76"/>
      <c r="E29" s="77"/>
      <c r="F29" s="78"/>
      <c r="G29" s="75"/>
      <c r="H29" s="78"/>
      <c r="I29" s="46" t="str">
        <f aca="false">IF(B29="","",SUMIFS(Bills!$E$8:$E$507,Bills!$D$8:$D$507,B29))</f>
        <v/>
      </c>
      <c r="J29" s="46" t="str">
        <f aca="false">IF(B29="","",SUMIFS(Payments!$D$8:$D$507,Payments!$C$8:$C$507,B29))</f>
        <v/>
      </c>
      <c r="K29" s="47" t="str">
        <f aca="false">IF(B29="","",SUMIFS(Bills!$K$8:$K$507,Bills!$D$8:$D$507,B29)-MAX(0,R29-SUMIFS(Bills!$P$8:$P$507,Bills!$D$8:$D$507,B29)))</f>
        <v/>
      </c>
      <c r="L29" s="48" t="str">
        <f aca="false">IF(B29="","",SUMIFS(Bills!$K$8:$K$507,Bills!$D$8:$D$507,B29,Bills!$L$8:$L$507,"&gt;0"))</f>
        <v/>
      </c>
      <c r="M29" s="48" t="str">
        <f aca="false">IF(B29="","",SUMIFS(Bills!$K$8:$K$507,Bills!$D$8:$D$507,B29,Bills!$V$8:$V$507,"&lt;="&amp;Setup!$C$9))</f>
        <v/>
      </c>
      <c r="N29" s="49" t="str">
        <f aca="false">IF(B29="","",IF(K29&lt;0,"Advance paid",IF(N(M29)&gt;0,"⚠ MSME deadline",IF(N(L29)&gt;0,"Overdue",IF(K29&gt;0,"Within credit","✔ Clear")))))</f>
        <v/>
      </c>
      <c r="O29" s="50" t="str">
        <f aca="false">IF(B29="","",IF(COUNTIF($B$7:$B$106,B29)&gt;1,"⚠ Name used twice",IF(AND(OR(F29="Micro",F29="Small"),G29=""),"Add Udyam no.","✔")))</f>
        <v/>
      </c>
      <c r="Q29" s="9" t="n">
        <f aca="false">IF(B29="",0,IF(E29="",Setup!$C$7,E29))</f>
        <v>0</v>
      </c>
      <c r="R29" s="9" t="n">
        <f aca="false">IF(B29="",0,SUMIFS(Payments!$J$8:$J$507,Payments!$C$8:$C$507,B29))</f>
        <v>0</v>
      </c>
      <c r="S29" s="9" t="str">
        <f aca="false">IF(OR(F29="Micro",F29="Small"),IF(H29="Yes",MIN(45,Q29),15),"")</f>
        <v/>
      </c>
    </row>
    <row r="30" customFormat="false" ht="15" hidden="false" customHeight="false" outlineLevel="0" collapsed="false">
      <c r="A30" s="40" t="str">
        <f aca="false">IF(B30="","",ROW()-6)</f>
        <v/>
      </c>
      <c r="B30" s="74"/>
      <c r="C30" s="75"/>
      <c r="D30" s="76"/>
      <c r="E30" s="77"/>
      <c r="F30" s="78"/>
      <c r="G30" s="75"/>
      <c r="H30" s="78"/>
      <c r="I30" s="46" t="str">
        <f aca="false">IF(B30="","",SUMIFS(Bills!$E$8:$E$507,Bills!$D$8:$D$507,B30))</f>
        <v/>
      </c>
      <c r="J30" s="46" t="str">
        <f aca="false">IF(B30="","",SUMIFS(Payments!$D$8:$D$507,Payments!$C$8:$C$507,B30))</f>
        <v/>
      </c>
      <c r="K30" s="47" t="str">
        <f aca="false">IF(B30="","",SUMIFS(Bills!$K$8:$K$507,Bills!$D$8:$D$507,B30)-MAX(0,R30-SUMIFS(Bills!$P$8:$P$507,Bills!$D$8:$D$507,B30)))</f>
        <v/>
      </c>
      <c r="L30" s="48" t="str">
        <f aca="false">IF(B30="","",SUMIFS(Bills!$K$8:$K$507,Bills!$D$8:$D$507,B30,Bills!$L$8:$L$507,"&gt;0"))</f>
        <v/>
      </c>
      <c r="M30" s="48" t="str">
        <f aca="false">IF(B30="","",SUMIFS(Bills!$K$8:$K$507,Bills!$D$8:$D$507,B30,Bills!$V$8:$V$507,"&lt;="&amp;Setup!$C$9))</f>
        <v/>
      </c>
      <c r="N30" s="49" t="str">
        <f aca="false">IF(B30="","",IF(K30&lt;0,"Advance paid",IF(N(M30)&gt;0,"⚠ MSME deadline",IF(N(L30)&gt;0,"Overdue",IF(K30&gt;0,"Within credit","✔ Clear")))))</f>
        <v/>
      </c>
      <c r="O30" s="50" t="str">
        <f aca="false">IF(B30="","",IF(COUNTIF($B$7:$B$106,B30)&gt;1,"⚠ Name used twice",IF(AND(OR(F30="Micro",F30="Small"),G30=""),"Add Udyam no.","✔")))</f>
        <v/>
      </c>
      <c r="Q30" s="9" t="n">
        <f aca="false">IF(B30="",0,IF(E30="",Setup!$C$7,E30))</f>
        <v>0</v>
      </c>
      <c r="R30" s="9" t="n">
        <f aca="false">IF(B30="",0,SUMIFS(Payments!$J$8:$J$507,Payments!$C$8:$C$507,B30))</f>
        <v>0</v>
      </c>
      <c r="S30" s="9" t="str">
        <f aca="false">IF(OR(F30="Micro",F30="Small"),IF(H30="Yes",MIN(45,Q30),15),"")</f>
        <v/>
      </c>
    </row>
    <row r="31" customFormat="false" ht="15" hidden="false" customHeight="false" outlineLevel="0" collapsed="false">
      <c r="A31" s="40" t="str">
        <f aca="false">IF(B31="","",ROW()-6)</f>
        <v/>
      </c>
      <c r="B31" s="74"/>
      <c r="C31" s="75"/>
      <c r="D31" s="76"/>
      <c r="E31" s="77"/>
      <c r="F31" s="78"/>
      <c r="G31" s="75"/>
      <c r="H31" s="78"/>
      <c r="I31" s="46" t="str">
        <f aca="false">IF(B31="","",SUMIFS(Bills!$E$8:$E$507,Bills!$D$8:$D$507,B31))</f>
        <v/>
      </c>
      <c r="J31" s="46" t="str">
        <f aca="false">IF(B31="","",SUMIFS(Payments!$D$8:$D$507,Payments!$C$8:$C$507,B31))</f>
        <v/>
      </c>
      <c r="K31" s="47" t="str">
        <f aca="false">IF(B31="","",SUMIFS(Bills!$K$8:$K$507,Bills!$D$8:$D$507,B31)-MAX(0,R31-SUMIFS(Bills!$P$8:$P$507,Bills!$D$8:$D$507,B31)))</f>
        <v/>
      </c>
      <c r="L31" s="48" t="str">
        <f aca="false">IF(B31="","",SUMIFS(Bills!$K$8:$K$507,Bills!$D$8:$D$507,B31,Bills!$L$8:$L$507,"&gt;0"))</f>
        <v/>
      </c>
      <c r="M31" s="48" t="str">
        <f aca="false">IF(B31="","",SUMIFS(Bills!$K$8:$K$507,Bills!$D$8:$D$507,B31,Bills!$V$8:$V$507,"&lt;="&amp;Setup!$C$9))</f>
        <v/>
      </c>
      <c r="N31" s="49" t="str">
        <f aca="false">IF(B31="","",IF(K31&lt;0,"Advance paid",IF(N(M31)&gt;0,"⚠ MSME deadline",IF(N(L31)&gt;0,"Overdue",IF(K31&gt;0,"Within credit","✔ Clear")))))</f>
        <v/>
      </c>
      <c r="O31" s="50" t="str">
        <f aca="false">IF(B31="","",IF(COUNTIF($B$7:$B$106,B31)&gt;1,"⚠ Name used twice",IF(AND(OR(F31="Micro",F31="Small"),G31=""),"Add Udyam no.","✔")))</f>
        <v/>
      </c>
      <c r="Q31" s="9" t="n">
        <f aca="false">IF(B31="",0,IF(E31="",Setup!$C$7,E31))</f>
        <v>0</v>
      </c>
      <c r="R31" s="9" t="n">
        <f aca="false">IF(B31="",0,SUMIFS(Payments!$J$8:$J$507,Payments!$C$8:$C$507,B31))</f>
        <v>0</v>
      </c>
      <c r="S31" s="9" t="str">
        <f aca="false">IF(OR(F31="Micro",F31="Small"),IF(H31="Yes",MIN(45,Q31),15),"")</f>
        <v/>
      </c>
    </row>
    <row r="32" customFormat="false" ht="15" hidden="false" customHeight="false" outlineLevel="0" collapsed="false">
      <c r="A32" s="40" t="str">
        <f aca="false">IF(B32="","",ROW()-6)</f>
        <v/>
      </c>
      <c r="B32" s="74"/>
      <c r="C32" s="75"/>
      <c r="D32" s="76"/>
      <c r="E32" s="77"/>
      <c r="F32" s="78"/>
      <c r="G32" s="75"/>
      <c r="H32" s="78"/>
      <c r="I32" s="46" t="str">
        <f aca="false">IF(B32="","",SUMIFS(Bills!$E$8:$E$507,Bills!$D$8:$D$507,B32))</f>
        <v/>
      </c>
      <c r="J32" s="46" t="str">
        <f aca="false">IF(B32="","",SUMIFS(Payments!$D$8:$D$507,Payments!$C$8:$C$507,B32))</f>
        <v/>
      </c>
      <c r="K32" s="47" t="str">
        <f aca="false">IF(B32="","",SUMIFS(Bills!$K$8:$K$507,Bills!$D$8:$D$507,B32)-MAX(0,R32-SUMIFS(Bills!$P$8:$P$507,Bills!$D$8:$D$507,B32)))</f>
        <v/>
      </c>
      <c r="L32" s="48" t="str">
        <f aca="false">IF(B32="","",SUMIFS(Bills!$K$8:$K$507,Bills!$D$8:$D$507,B32,Bills!$L$8:$L$507,"&gt;0"))</f>
        <v/>
      </c>
      <c r="M32" s="48" t="str">
        <f aca="false">IF(B32="","",SUMIFS(Bills!$K$8:$K$507,Bills!$D$8:$D$507,B32,Bills!$V$8:$V$507,"&lt;="&amp;Setup!$C$9))</f>
        <v/>
      </c>
      <c r="N32" s="49" t="str">
        <f aca="false">IF(B32="","",IF(K32&lt;0,"Advance paid",IF(N(M32)&gt;0,"⚠ MSME deadline",IF(N(L32)&gt;0,"Overdue",IF(K32&gt;0,"Within credit","✔ Clear")))))</f>
        <v/>
      </c>
      <c r="O32" s="50" t="str">
        <f aca="false">IF(B32="","",IF(COUNTIF($B$7:$B$106,B32)&gt;1,"⚠ Name used twice",IF(AND(OR(F32="Micro",F32="Small"),G32=""),"Add Udyam no.","✔")))</f>
        <v/>
      </c>
      <c r="Q32" s="9" t="n">
        <f aca="false">IF(B32="",0,IF(E32="",Setup!$C$7,E32))</f>
        <v>0</v>
      </c>
      <c r="R32" s="9" t="n">
        <f aca="false">IF(B32="",0,SUMIFS(Payments!$J$8:$J$507,Payments!$C$8:$C$507,B32))</f>
        <v>0</v>
      </c>
      <c r="S32" s="9" t="str">
        <f aca="false">IF(OR(F32="Micro",F32="Small"),IF(H32="Yes",MIN(45,Q32),15),"")</f>
        <v/>
      </c>
    </row>
    <row r="33" customFormat="false" ht="15" hidden="false" customHeight="false" outlineLevel="0" collapsed="false">
      <c r="A33" s="40" t="str">
        <f aca="false">IF(B33="","",ROW()-6)</f>
        <v/>
      </c>
      <c r="B33" s="74"/>
      <c r="C33" s="75"/>
      <c r="D33" s="76"/>
      <c r="E33" s="77"/>
      <c r="F33" s="78"/>
      <c r="G33" s="75"/>
      <c r="H33" s="78"/>
      <c r="I33" s="46" t="str">
        <f aca="false">IF(B33="","",SUMIFS(Bills!$E$8:$E$507,Bills!$D$8:$D$507,B33))</f>
        <v/>
      </c>
      <c r="J33" s="46" t="str">
        <f aca="false">IF(B33="","",SUMIFS(Payments!$D$8:$D$507,Payments!$C$8:$C$507,B33))</f>
        <v/>
      </c>
      <c r="K33" s="47" t="str">
        <f aca="false">IF(B33="","",SUMIFS(Bills!$K$8:$K$507,Bills!$D$8:$D$507,B33)-MAX(0,R33-SUMIFS(Bills!$P$8:$P$507,Bills!$D$8:$D$507,B33)))</f>
        <v/>
      </c>
      <c r="L33" s="48" t="str">
        <f aca="false">IF(B33="","",SUMIFS(Bills!$K$8:$K$507,Bills!$D$8:$D$507,B33,Bills!$L$8:$L$507,"&gt;0"))</f>
        <v/>
      </c>
      <c r="M33" s="48" t="str">
        <f aca="false">IF(B33="","",SUMIFS(Bills!$K$8:$K$507,Bills!$D$8:$D$507,B33,Bills!$V$8:$V$507,"&lt;="&amp;Setup!$C$9))</f>
        <v/>
      </c>
      <c r="N33" s="49" t="str">
        <f aca="false">IF(B33="","",IF(K33&lt;0,"Advance paid",IF(N(M33)&gt;0,"⚠ MSME deadline",IF(N(L33)&gt;0,"Overdue",IF(K33&gt;0,"Within credit","✔ Clear")))))</f>
        <v/>
      </c>
      <c r="O33" s="50" t="str">
        <f aca="false">IF(B33="","",IF(COUNTIF($B$7:$B$106,B33)&gt;1,"⚠ Name used twice",IF(AND(OR(F33="Micro",F33="Small"),G33=""),"Add Udyam no.","✔")))</f>
        <v/>
      </c>
      <c r="Q33" s="9" t="n">
        <f aca="false">IF(B33="",0,IF(E33="",Setup!$C$7,E33))</f>
        <v>0</v>
      </c>
      <c r="R33" s="9" t="n">
        <f aca="false">IF(B33="",0,SUMIFS(Payments!$J$8:$J$507,Payments!$C$8:$C$507,B33))</f>
        <v>0</v>
      </c>
      <c r="S33" s="9" t="str">
        <f aca="false">IF(OR(F33="Micro",F33="Small"),IF(H33="Yes",MIN(45,Q33),15),"")</f>
        <v/>
      </c>
    </row>
    <row r="34" customFormat="false" ht="15" hidden="false" customHeight="false" outlineLevel="0" collapsed="false">
      <c r="A34" s="40" t="str">
        <f aca="false">IF(B34="","",ROW()-6)</f>
        <v/>
      </c>
      <c r="B34" s="74"/>
      <c r="C34" s="75"/>
      <c r="D34" s="76"/>
      <c r="E34" s="77"/>
      <c r="F34" s="78"/>
      <c r="G34" s="75"/>
      <c r="H34" s="78"/>
      <c r="I34" s="46" t="str">
        <f aca="false">IF(B34="","",SUMIFS(Bills!$E$8:$E$507,Bills!$D$8:$D$507,B34))</f>
        <v/>
      </c>
      <c r="J34" s="46" t="str">
        <f aca="false">IF(B34="","",SUMIFS(Payments!$D$8:$D$507,Payments!$C$8:$C$507,B34))</f>
        <v/>
      </c>
      <c r="K34" s="47" t="str">
        <f aca="false">IF(B34="","",SUMIFS(Bills!$K$8:$K$507,Bills!$D$8:$D$507,B34)-MAX(0,R34-SUMIFS(Bills!$P$8:$P$507,Bills!$D$8:$D$507,B34)))</f>
        <v/>
      </c>
      <c r="L34" s="48" t="str">
        <f aca="false">IF(B34="","",SUMIFS(Bills!$K$8:$K$507,Bills!$D$8:$D$507,B34,Bills!$L$8:$L$507,"&gt;0"))</f>
        <v/>
      </c>
      <c r="M34" s="48" t="str">
        <f aca="false">IF(B34="","",SUMIFS(Bills!$K$8:$K$507,Bills!$D$8:$D$507,B34,Bills!$V$8:$V$507,"&lt;="&amp;Setup!$C$9))</f>
        <v/>
      </c>
      <c r="N34" s="49" t="str">
        <f aca="false">IF(B34="","",IF(K34&lt;0,"Advance paid",IF(N(M34)&gt;0,"⚠ MSME deadline",IF(N(L34)&gt;0,"Overdue",IF(K34&gt;0,"Within credit","✔ Clear")))))</f>
        <v/>
      </c>
      <c r="O34" s="50" t="str">
        <f aca="false">IF(B34="","",IF(COUNTIF($B$7:$B$106,B34)&gt;1,"⚠ Name used twice",IF(AND(OR(F34="Micro",F34="Small"),G34=""),"Add Udyam no.","✔")))</f>
        <v/>
      </c>
      <c r="Q34" s="9" t="n">
        <f aca="false">IF(B34="",0,IF(E34="",Setup!$C$7,E34))</f>
        <v>0</v>
      </c>
      <c r="R34" s="9" t="n">
        <f aca="false">IF(B34="",0,SUMIFS(Payments!$J$8:$J$507,Payments!$C$8:$C$507,B34))</f>
        <v>0</v>
      </c>
      <c r="S34" s="9" t="str">
        <f aca="false">IF(OR(F34="Micro",F34="Small"),IF(H34="Yes",MIN(45,Q34),15),"")</f>
        <v/>
      </c>
    </row>
    <row r="35" customFormat="false" ht="15" hidden="false" customHeight="false" outlineLevel="0" collapsed="false">
      <c r="A35" s="40" t="str">
        <f aca="false">IF(B35="","",ROW()-6)</f>
        <v/>
      </c>
      <c r="B35" s="74"/>
      <c r="C35" s="75"/>
      <c r="D35" s="76"/>
      <c r="E35" s="77"/>
      <c r="F35" s="78"/>
      <c r="G35" s="75"/>
      <c r="H35" s="78"/>
      <c r="I35" s="46" t="str">
        <f aca="false">IF(B35="","",SUMIFS(Bills!$E$8:$E$507,Bills!$D$8:$D$507,B35))</f>
        <v/>
      </c>
      <c r="J35" s="46" t="str">
        <f aca="false">IF(B35="","",SUMIFS(Payments!$D$8:$D$507,Payments!$C$8:$C$507,B35))</f>
        <v/>
      </c>
      <c r="K35" s="47" t="str">
        <f aca="false">IF(B35="","",SUMIFS(Bills!$K$8:$K$507,Bills!$D$8:$D$507,B35)-MAX(0,R35-SUMIFS(Bills!$P$8:$P$507,Bills!$D$8:$D$507,B35)))</f>
        <v/>
      </c>
      <c r="L35" s="48" t="str">
        <f aca="false">IF(B35="","",SUMIFS(Bills!$K$8:$K$507,Bills!$D$8:$D$507,B35,Bills!$L$8:$L$507,"&gt;0"))</f>
        <v/>
      </c>
      <c r="M35" s="48" t="str">
        <f aca="false">IF(B35="","",SUMIFS(Bills!$K$8:$K$507,Bills!$D$8:$D$507,B35,Bills!$V$8:$V$507,"&lt;="&amp;Setup!$C$9))</f>
        <v/>
      </c>
      <c r="N35" s="49" t="str">
        <f aca="false">IF(B35="","",IF(K35&lt;0,"Advance paid",IF(N(M35)&gt;0,"⚠ MSME deadline",IF(N(L35)&gt;0,"Overdue",IF(K35&gt;0,"Within credit","✔ Clear")))))</f>
        <v/>
      </c>
      <c r="O35" s="50" t="str">
        <f aca="false">IF(B35="","",IF(COUNTIF($B$7:$B$106,B35)&gt;1,"⚠ Name used twice",IF(AND(OR(F35="Micro",F35="Small"),G35=""),"Add Udyam no.","✔")))</f>
        <v/>
      </c>
      <c r="Q35" s="9" t="n">
        <f aca="false">IF(B35="",0,IF(E35="",Setup!$C$7,E35))</f>
        <v>0</v>
      </c>
      <c r="R35" s="9" t="n">
        <f aca="false">IF(B35="",0,SUMIFS(Payments!$J$8:$J$507,Payments!$C$8:$C$507,B35))</f>
        <v>0</v>
      </c>
      <c r="S35" s="9" t="str">
        <f aca="false">IF(OR(F35="Micro",F35="Small"),IF(H35="Yes",MIN(45,Q35),15),"")</f>
        <v/>
      </c>
    </row>
    <row r="36" customFormat="false" ht="15" hidden="false" customHeight="false" outlineLevel="0" collapsed="false">
      <c r="A36" s="40" t="str">
        <f aca="false">IF(B36="","",ROW()-6)</f>
        <v/>
      </c>
      <c r="B36" s="74"/>
      <c r="C36" s="75"/>
      <c r="D36" s="76"/>
      <c r="E36" s="77"/>
      <c r="F36" s="78"/>
      <c r="G36" s="75"/>
      <c r="H36" s="78"/>
      <c r="I36" s="46" t="str">
        <f aca="false">IF(B36="","",SUMIFS(Bills!$E$8:$E$507,Bills!$D$8:$D$507,B36))</f>
        <v/>
      </c>
      <c r="J36" s="46" t="str">
        <f aca="false">IF(B36="","",SUMIFS(Payments!$D$8:$D$507,Payments!$C$8:$C$507,B36))</f>
        <v/>
      </c>
      <c r="K36" s="47" t="str">
        <f aca="false">IF(B36="","",SUMIFS(Bills!$K$8:$K$507,Bills!$D$8:$D$507,B36)-MAX(0,R36-SUMIFS(Bills!$P$8:$P$507,Bills!$D$8:$D$507,B36)))</f>
        <v/>
      </c>
      <c r="L36" s="48" t="str">
        <f aca="false">IF(B36="","",SUMIFS(Bills!$K$8:$K$507,Bills!$D$8:$D$507,B36,Bills!$L$8:$L$507,"&gt;0"))</f>
        <v/>
      </c>
      <c r="M36" s="48" t="str">
        <f aca="false">IF(B36="","",SUMIFS(Bills!$K$8:$K$507,Bills!$D$8:$D$507,B36,Bills!$V$8:$V$507,"&lt;="&amp;Setup!$C$9))</f>
        <v/>
      </c>
      <c r="N36" s="49" t="str">
        <f aca="false">IF(B36="","",IF(K36&lt;0,"Advance paid",IF(N(M36)&gt;0,"⚠ MSME deadline",IF(N(L36)&gt;0,"Overdue",IF(K36&gt;0,"Within credit","✔ Clear")))))</f>
        <v/>
      </c>
      <c r="O36" s="50" t="str">
        <f aca="false">IF(B36="","",IF(COUNTIF($B$7:$B$106,B36)&gt;1,"⚠ Name used twice",IF(AND(OR(F36="Micro",F36="Small"),G36=""),"Add Udyam no.","✔")))</f>
        <v/>
      </c>
      <c r="Q36" s="9" t="n">
        <f aca="false">IF(B36="",0,IF(E36="",Setup!$C$7,E36))</f>
        <v>0</v>
      </c>
      <c r="R36" s="9" t="n">
        <f aca="false">IF(B36="",0,SUMIFS(Payments!$J$8:$J$507,Payments!$C$8:$C$507,B36))</f>
        <v>0</v>
      </c>
      <c r="S36" s="9" t="str">
        <f aca="false">IF(OR(F36="Micro",F36="Small"),IF(H36="Yes",MIN(45,Q36),15),"")</f>
        <v/>
      </c>
    </row>
    <row r="37" customFormat="false" ht="15" hidden="false" customHeight="false" outlineLevel="0" collapsed="false">
      <c r="A37" s="40" t="str">
        <f aca="false">IF(B37="","",ROW()-6)</f>
        <v/>
      </c>
      <c r="B37" s="74"/>
      <c r="C37" s="75"/>
      <c r="D37" s="76"/>
      <c r="E37" s="77"/>
      <c r="F37" s="78"/>
      <c r="G37" s="75"/>
      <c r="H37" s="78"/>
      <c r="I37" s="46" t="str">
        <f aca="false">IF(B37="","",SUMIFS(Bills!$E$8:$E$507,Bills!$D$8:$D$507,B37))</f>
        <v/>
      </c>
      <c r="J37" s="46" t="str">
        <f aca="false">IF(B37="","",SUMIFS(Payments!$D$8:$D$507,Payments!$C$8:$C$507,B37))</f>
        <v/>
      </c>
      <c r="K37" s="47" t="str">
        <f aca="false">IF(B37="","",SUMIFS(Bills!$K$8:$K$507,Bills!$D$8:$D$507,B37)-MAX(0,R37-SUMIFS(Bills!$P$8:$P$507,Bills!$D$8:$D$507,B37)))</f>
        <v/>
      </c>
      <c r="L37" s="48" t="str">
        <f aca="false">IF(B37="","",SUMIFS(Bills!$K$8:$K$507,Bills!$D$8:$D$507,B37,Bills!$L$8:$L$507,"&gt;0"))</f>
        <v/>
      </c>
      <c r="M37" s="48" t="str">
        <f aca="false">IF(B37="","",SUMIFS(Bills!$K$8:$K$507,Bills!$D$8:$D$507,B37,Bills!$V$8:$V$507,"&lt;="&amp;Setup!$C$9))</f>
        <v/>
      </c>
      <c r="N37" s="49" t="str">
        <f aca="false">IF(B37="","",IF(K37&lt;0,"Advance paid",IF(N(M37)&gt;0,"⚠ MSME deadline",IF(N(L37)&gt;0,"Overdue",IF(K37&gt;0,"Within credit","✔ Clear")))))</f>
        <v/>
      </c>
      <c r="O37" s="50" t="str">
        <f aca="false">IF(B37="","",IF(COUNTIF($B$7:$B$106,B37)&gt;1,"⚠ Name used twice",IF(AND(OR(F37="Micro",F37="Small"),G37=""),"Add Udyam no.","✔")))</f>
        <v/>
      </c>
      <c r="Q37" s="9" t="n">
        <f aca="false">IF(B37="",0,IF(E37="",Setup!$C$7,E37))</f>
        <v>0</v>
      </c>
      <c r="R37" s="9" t="n">
        <f aca="false">IF(B37="",0,SUMIFS(Payments!$J$8:$J$507,Payments!$C$8:$C$507,B37))</f>
        <v>0</v>
      </c>
      <c r="S37" s="9" t="str">
        <f aca="false">IF(OR(F37="Micro",F37="Small"),IF(H37="Yes",MIN(45,Q37),15),"")</f>
        <v/>
      </c>
    </row>
    <row r="38" customFormat="false" ht="15" hidden="false" customHeight="false" outlineLevel="0" collapsed="false">
      <c r="A38" s="40" t="str">
        <f aca="false">IF(B38="","",ROW()-6)</f>
        <v/>
      </c>
      <c r="B38" s="74"/>
      <c r="C38" s="75"/>
      <c r="D38" s="76"/>
      <c r="E38" s="77"/>
      <c r="F38" s="78"/>
      <c r="G38" s="75"/>
      <c r="H38" s="78"/>
      <c r="I38" s="46" t="str">
        <f aca="false">IF(B38="","",SUMIFS(Bills!$E$8:$E$507,Bills!$D$8:$D$507,B38))</f>
        <v/>
      </c>
      <c r="J38" s="46" t="str">
        <f aca="false">IF(B38="","",SUMIFS(Payments!$D$8:$D$507,Payments!$C$8:$C$507,B38))</f>
        <v/>
      </c>
      <c r="K38" s="47" t="str">
        <f aca="false">IF(B38="","",SUMIFS(Bills!$K$8:$K$507,Bills!$D$8:$D$507,B38)-MAX(0,R38-SUMIFS(Bills!$P$8:$P$507,Bills!$D$8:$D$507,B38)))</f>
        <v/>
      </c>
      <c r="L38" s="48" t="str">
        <f aca="false">IF(B38="","",SUMIFS(Bills!$K$8:$K$507,Bills!$D$8:$D$507,B38,Bills!$L$8:$L$507,"&gt;0"))</f>
        <v/>
      </c>
      <c r="M38" s="48" t="str">
        <f aca="false">IF(B38="","",SUMIFS(Bills!$K$8:$K$507,Bills!$D$8:$D$507,B38,Bills!$V$8:$V$507,"&lt;="&amp;Setup!$C$9))</f>
        <v/>
      </c>
      <c r="N38" s="49" t="str">
        <f aca="false">IF(B38="","",IF(K38&lt;0,"Advance paid",IF(N(M38)&gt;0,"⚠ MSME deadline",IF(N(L38)&gt;0,"Overdue",IF(K38&gt;0,"Within credit","✔ Clear")))))</f>
        <v/>
      </c>
      <c r="O38" s="50" t="str">
        <f aca="false">IF(B38="","",IF(COUNTIF($B$7:$B$106,B38)&gt;1,"⚠ Name used twice",IF(AND(OR(F38="Micro",F38="Small"),G38=""),"Add Udyam no.","✔")))</f>
        <v/>
      </c>
      <c r="Q38" s="9" t="n">
        <f aca="false">IF(B38="",0,IF(E38="",Setup!$C$7,E38))</f>
        <v>0</v>
      </c>
      <c r="R38" s="9" t="n">
        <f aca="false">IF(B38="",0,SUMIFS(Payments!$J$8:$J$507,Payments!$C$8:$C$507,B38))</f>
        <v>0</v>
      </c>
      <c r="S38" s="9" t="str">
        <f aca="false">IF(OR(F38="Micro",F38="Small"),IF(H38="Yes",MIN(45,Q38),15),"")</f>
        <v/>
      </c>
    </row>
    <row r="39" customFormat="false" ht="15" hidden="false" customHeight="false" outlineLevel="0" collapsed="false">
      <c r="A39" s="40" t="str">
        <f aca="false">IF(B39="","",ROW()-6)</f>
        <v/>
      </c>
      <c r="B39" s="74"/>
      <c r="C39" s="75"/>
      <c r="D39" s="76"/>
      <c r="E39" s="77"/>
      <c r="F39" s="78"/>
      <c r="G39" s="75"/>
      <c r="H39" s="78"/>
      <c r="I39" s="46" t="str">
        <f aca="false">IF(B39="","",SUMIFS(Bills!$E$8:$E$507,Bills!$D$8:$D$507,B39))</f>
        <v/>
      </c>
      <c r="J39" s="46" t="str">
        <f aca="false">IF(B39="","",SUMIFS(Payments!$D$8:$D$507,Payments!$C$8:$C$507,B39))</f>
        <v/>
      </c>
      <c r="K39" s="47" t="str">
        <f aca="false">IF(B39="","",SUMIFS(Bills!$K$8:$K$507,Bills!$D$8:$D$507,B39)-MAX(0,R39-SUMIFS(Bills!$P$8:$P$507,Bills!$D$8:$D$507,B39)))</f>
        <v/>
      </c>
      <c r="L39" s="48" t="str">
        <f aca="false">IF(B39="","",SUMIFS(Bills!$K$8:$K$507,Bills!$D$8:$D$507,B39,Bills!$L$8:$L$507,"&gt;0"))</f>
        <v/>
      </c>
      <c r="M39" s="48" t="str">
        <f aca="false">IF(B39="","",SUMIFS(Bills!$K$8:$K$507,Bills!$D$8:$D$507,B39,Bills!$V$8:$V$507,"&lt;="&amp;Setup!$C$9))</f>
        <v/>
      </c>
      <c r="N39" s="49" t="str">
        <f aca="false">IF(B39="","",IF(K39&lt;0,"Advance paid",IF(N(M39)&gt;0,"⚠ MSME deadline",IF(N(L39)&gt;0,"Overdue",IF(K39&gt;0,"Within credit","✔ Clear")))))</f>
        <v/>
      </c>
      <c r="O39" s="50" t="str">
        <f aca="false">IF(B39="","",IF(COUNTIF($B$7:$B$106,B39)&gt;1,"⚠ Name used twice",IF(AND(OR(F39="Micro",F39="Small"),G39=""),"Add Udyam no.","✔")))</f>
        <v/>
      </c>
      <c r="Q39" s="9" t="n">
        <f aca="false">IF(B39="",0,IF(E39="",Setup!$C$7,E39))</f>
        <v>0</v>
      </c>
      <c r="R39" s="9" t="n">
        <f aca="false">IF(B39="",0,SUMIFS(Payments!$J$8:$J$507,Payments!$C$8:$C$507,B39))</f>
        <v>0</v>
      </c>
      <c r="S39" s="9" t="str">
        <f aca="false">IF(OR(F39="Micro",F39="Small"),IF(H39="Yes",MIN(45,Q39),15),"")</f>
        <v/>
      </c>
    </row>
    <row r="40" customFormat="false" ht="15" hidden="false" customHeight="false" outlineLevel="0" collapsed="false">
      <c r="A40" s="40" t="str">
        <f aca="false">IF(B40="","",ROW()-6)</f>
        <v/>
      </c>
      <c r="B40" s="74"/>
      <c r="C40" s="75"/>
      <c r="D40" s="76"/>
      <c r="E40" s="77"/>
      <c r="F40" s="78"/>
      <c r="G40" s="75"/>
      <c r="H40" s="78"/>
      <c r="I40" s="46" t="str">
        <f aca="false">IF(B40="","",SUMIFS(Bills!$E$8:$E$507,Bills!$D$8:$D$507,B40))</f>
        <v/>
      </c>
      <c r="J40" s="46" t="str">
        <f aca="false">IF(B40="","",SUMIFS(Payments!$D$8:$D$507,Payments!$C$8:$C$507,B40))</f>
        <v/>
      </c>
      <c r="K40" s="47" t="str">
        <f aca="false">IF(B40="","",SUMIFS(Bills!$K$8:$K$507,Bills!$D$8:$D$507,B40)-MAX(0,R40-SUMIFS(Bills!$P$8:$P$507,Bills!$D$8:$D$507,B40)))</f>
        <v/>
      </c>
      <c r="L40" s="48" t="str">
        <f aca="false">IF(B40="","",SUMIFS(Bills!$K$8:$K$507,Bills!$D$8:$D$507,B40,Bills!$L$8:$L$507,"&gt;0"))</f>
        <v/>
      </c>
      <c r="M40" s="48" t="str">
        <f aca="false">IF(B40="","",SUMIFS(Bills!$K$8:$K$507,Bills!$D$8:$D$507,B40,Bills!$V$8:$V$507,"&lt;="&amp;Setup!$C$9))</f>
        <v/>
      </c>
      <c r="N40" s="49" t="str">
        <f aca="false">IF(B40="","",IF(K40&lt;0,"Advance paid",IF(N(M40)&gt;0,"⚠ MSME deadline",IF(N(L40)&gt;0,"Overdue",IF(K40&gt;0,"Within credit","✔ Clear")))))</f>
        <v/>
      </c>
      <c r="O40" s="50" t="str">
        <f aca="false">IF(B40="","",IF(COUNTIF($B$7:$B$106,B40)&gt;1,"⚠ Name used twice",IF(AND(OR(F40="Micro",F40="Small"),G40=""),"Add Udyam no.","✔")))</f>
        <v/>
      </c>
      <c r="Q40" s="9" t="n">
        <f aca="false">IF(B40="",0,IF(E40="",Setup!$C$7,E40))</f>
        <v>0</v>
      </c>
      <c r="R40" s="9" t="n">
        <f aca="false">IF(B40="",0,SUMIFS(Payments!$J$8:$J$507,Payments!$C$8:$C$507,B40))</f>
        <v>0</v>
      </c>
      <c r="S40" s="9" t="str">
        <f aca="false">IF(OR(F40="Micro",F40="Small"),IF(H40="Yes",MIN(45,Q40),15),"")</f>
        <v/>
      </c>
    </row>
    <row r="41" customFormat="false" ht="15" hidden="false" customHeight="false" outlineLevel="0" collapsed="false">
      <c r="A41" s="40" t="str">
        <f aca="false">IF(B41="","",ROW()-6)</f>
        <v/>
      </c>
      <c r="B41" s="74"/>
      <c r="C41" s="75"/>
      <c r="D41" s="76"/>
      <c r="E41" s="77"/>
      <c r="F41" s="78"/>
      <c r="G41" s="75"/>
      <c r="H41" s="78"/>
      <c r="I41" s="46" t="str">
        <f aca="false">IF(B41="","",SUMIFS(Bills!$E$8:$E$507,Bills!$D$8:$D$507,B41))</f>
        <v/>
      </c>
      <c r="J41" s="46" t="str">
        <f aca="false">IF(B41="","",SUMIFS(Payments!$D$8:$D$507,Payments!$C$8:$C$507,B41))</f>
        <v/>
      </c>
      <c r="K41" s="47" t="str">
        <f aca="false">IF(B41="","",SUMIFS(Bills!$K$8:$K$507,Bills!$D$8:$D$507,B41)-MAX(0,R41-SUMIFS(Bills!$P$8:$P$507,Bills!$D$8:$D$507,B41)))</f>
        <v/>
      </c>
      <c r="L41" s="48" t="str">
        <f aca="false">IF(B41="","",SUMIFS(Bills!$K$8:$K$507,Bills!$D$8:$D$507,B41,Bills!$L$8:$L$507,"&gt;0"))</f>
        <v/>
      </c>
      <c r="M41" s="48" t="str">
        <f aca="false">IF(B41="","",SUMIFS(Bills!$K$8:$K$507,Bills!$D$8:$D$507,B41,Bills!$V$8:$V$507,"&lt;="&amp;Setup!$C$9))</f>
        <v/>
      </c>
      <c r="N41" s="49" t="str">
        <f aca="false">IF(B41="","",IF(K41&lt;0,"Advance paid",IF(N(M41)&gt;0,"⚠ MSME deadline",IF(N(L41)&gt;0,"Overdue",IF(K41&gt;0,"Within credit","✔ Clear")))))</f>
        <v/>
      </c>
      <c r="O41" s="50" t="str">
        <f aca="false">IF(B41="","",IF(COUNTIF($B$7:$B$106,B41)&gt;1,"⚠ Name used twice",IF(AND(OR(F41="Micro",F41="Small"),G41=""),"Add Udyam no.","✔")))</f>
        <v/>
      </c>
      <c r="Q41" s="9" t="n">
        <f aca="false">IF(B41="",0,IF(E41="",Setup!$C$7,E41))</f>
        <v>0</v>
      </c>
      <c r="R41" s="9" t="n">
        <f aca="false">IF(B41="",0,SUMIFS(Payments!$J$8:$J$507,Payments!$C$8:$C$507,B41))</f>
        <v>0</v>
      </c>
      <c r="S41" s="9" t="str">
        <f aca="false">IF(OR(F41="Micro",F41="Small"),IF(H41="Yes",MIN(45,Q41),15),"")</f>
        <v/>
      </c>
    </row>
    <row r="42" customFormat="false" ht="15" hidden="false" customHeight="false" outlineLevel="0" collapsed="false">
      <c r="A42" s="40" t="str">
        <f aca="false">IF(B42="","",ROW()-6)</f>
        <v/>
      </c>
      <c r="B42" s="74"/>
      <c r="C42" s="75"/>
      <c r="D42" s="76"/>
      <c r="E42" s="77"/>
      <c r="F42" s="78"/>
      <c r="G42" s="75"/>
      <c r="H42" s="78"/>
      <c r="I42" s="46" t="str">
        <f aca="false">IF(B42="","",SUMIFS(Bills!$E$8:$E$507,Bills!$D$8:$D$507,B42))</f>
        <v/>
      </c>
      <c r="J42" s="46" t="str">
        <f aca="false">IF(B42="","",SUMIFS(Payments!$D$8:$D$507,Payments!$C$8:$C$507,B42))</f>
        <v/>
      </c>
      <c r="K42" s="47" t="str">
        <f aca="false">IF(B42="","",SUMIFS(Bills!$K$8:$K$507,Bills!$D$8:$D$507,B42)-MAX(0,R42-SUMIFS(Bills!$P$8:$P$507,Bills!$D$8:$D$507,B42)))</f>
        <v/>
      </c>
      <c r="L42" s="48" t="str">
        <f aca="false">IF(B42="","",SUMIFS(Bills!$K$8:$K$507,Bills!$D$8:$D$507,B42,Bills!$L$8:$L$507,"&gt;0"))</f>
        <v/>
      </c>
      <c r="M42" s="48" t="str">
        <f aca="false">IF(B42="","",SUMIFS(Bills!$K$8:$K$507,Bills!$D$8:$D$507,B42,Bills!$V$8:$V$507,"&lt;="&amp;Setup!$C$9))</f>
        <v/>
      </c>
      <c r="N42" s="49" t="str">
        <f aca="false">IF(B42="","",IF(K42&lt;0,"Advance paid",IF(N(M42)&gt;0,"⚠ MSME deadline",IF(N(L42)&gt;0,"Overdue",IF(K42&gt;0,"Within credit","✔ Clear")))))</f>
        <v/>
      </c>
      <c r="O42" s="50" t="str">
        <f aca="false">IF(B42="","",IF(COUNTIF($B$7:$B$106,B42)&gt;1,"⚠ Name used twice",IF(AND(OR(F42="Micro",F42="Small"),G42=""),"Add Udyam no.","✔")))</f>
        <v/>
      </c>
      <c r="Q42" s="9" t="n">
        <f aca="false">IF(B42="",0,IF(E42="",Setup!$C$7,E42))</f>
        <v>0</v>
      </c>
      <c r="R42" s="9" t="n">
        <f aca="false">IF(B42="",0,SUMIFS(Payments!$J$8:$J$507,Payments!$C$8:$C$507,B42))</f>
        <v>0</v>
      </c>
      <c r="S42" s="9" t="str">
        <f aca="false">IF(OR(F42="Micro",F42="Small"),IF(H42="Yes",MIN(45,Q42),15),"")</f>
        <v/>
      </c>
    </row>
    <row r="43" customFormat="false" ht="15" hidden="false" customHeight="false" outlineLevel="0" collapsed="false">
      <c r="A43" s="40" t="str">
        <f aca="false">IF(B43="","",ROW()-6)</f>
        <v/>
      </c>
      <c r="B43" s="74"/>
      <c r="C43" s="75"/>
      <c r="D43" s="76"/>
      <c r="E43" s="77"/>
      <c r="F43" s="78"/>
      <c r="G43" s="75"/>
      <c r="H43" s="78"/>
      <c r="I43" s="46" t="str">
        <f aca="false">IF(B43="","",SUMIFS(Bills!$E$8:$E$507,Bills!$D$8:$D$507,B43))</f>
        <v/>
      </c>
      <c r="J43" s="46" t="str">
        <f aca="false">IF(B43="","",SUMIFS(Payments!$D$8:$D$507,Payments!$C$8:$C$507,B43))</f>
        <v/>
      </c>
      <c r="K43" s="47" t="str">
        <f aca="false">IF(B43="","",SUMIFS(Bills!$K$8:$K$507,Bills!$D$8:$D$507,B43)-MAX(0,R43-SUMIFS(Bills!$P$8:$P$507,Bills!$D$8:$D$507,B43)))</f>
        <v/>
      </c>
      <c r="L43" s="48" t="str">
        <f aca="false">IF(B43="","",SUMIFS(Bills!$K$8:$K$507,Bills!$D$8:$D$507,B43,Bills!$L$8:$L$507,"&gt;0"))</f>
        <v/>
      </c>
      <c r="M43" s="48" t="str">
        <f aca="false">IF(B43="","",SUMIFS(Bills!$K$8:$K$507,Bills!$D$8:$D$507,B43,Bills!$V$8:$V$507,"&lt;="&amp;Setup!$C$9))</f>
        <v/>
      </c>
      <c r="N43" s="49" t="str">
        <f aca="false">IF(B43="","",IF(K43&lt;0,"Advance paid",IF(N(M43)&gt;0,"⚠ MSME deadline",IF(N(L43)&gt;0,"Overdue",IF(K43&gt;0,"Within credit","✔ Clear")))))</f>
        <v/>
      </c>
      <c r="O43" s="50" t="str">
        <f aca="false">IF(B43="","",IF(COUNTIF($B$7:$B$106,B43)&gt;1,"⚠ Name used twice",IF(AND(OR(F43="Micro",F43="Small"),G43=""),"Add Udyam no.","✔")))</f>
        <v/>
      </c>
      <c r="Q43" s="9" t="n">
        <f aca="false">IF(B43="",0,IF(E43="",Setup!$C$7,E43))</f>
        <v>0</v>
      </c>
      <c r="R43" s="9" t="n">
        <f aca="false">IF(B43="",0,SUMIFS(Payments!$J$8:$J$507,Payments!$C$8:$C$507,B43))</f>
        <v>0</v>
      </c>
      <c r="S43" s="9" t="str">
        <f aca="false">IF(OR(F43="Micro",F43="Small"),IF(H43="Yes",MIN(45,Q43),15),"")</f>
        <v/>
      </c>
    </row>
    <row r="44" customFormat="false" ht="15" hidden="false" customHeight="false" outlineLevel="0" collapsed="false">
      <c r="A44" s="40" t="str">
        <f aca="false">IF(B44="","",ROW()-6)</f>
        <v/>
      </c>
      <c r="B44" s="74"/>
      <c r="C44" s="75"/>
      <c r="D44" s="76"/>
      <c r="E44" s="77"/>
      <c r="F44" s="78"/>
      <c r="G44" s="75"/>
      <c r="H44" s="78"/>
      <c r="I44" s="46" t="str">
        <f aca="false">IF(B44="","",SUMIFS(Bills!$E$8:$E$507,Bills!$D$8:$D$507,B44))</f>
        <v/>
      </c>
      <c r="J44" s="46" t="str">
        <f aca="false">IF(B44="","",SUMIFS(Payments!$D$8:$D$507,Payments!$C$8:$C$507,B44))</f>
        <v/>
      </c>
      <c r="K44" s="47" t="str">
        <f aca="false">IF(B44="","",SUMIFS(Bills!$K$8:$K$507,Bills!$D$8:$D$507,B44)-MAX(0,R44-SUMIFS(Bills!$P$8:$P$507,Bills!$D$8:$D$507,B44)))</f>
        <v/>
      </c>
      <c r="L44" s="48" t="str">
        <f aca="false">IF(B44="","",SUMIFS(Bills!$K$8:$K$507,Bills!$D$8:$D$507,B44,Bills!$L$8:$L$507,"&gt;0"))</f>
        <v/>
      </c>
      <c r="M44" s="48" t="str">
        <f aca="false">IF(B44="","",SUMIFS(Bills!$K$8:$K$507,Bills!$D$8:$D$507,B44,Bills!$V$8:$V$507,"&lt;="&amp;Setup!$C$9))</f>
        <v/>
      </c>
      <c r="N44" s="49" t="str">
        <f aca="false">IF(B44="","",IF(K44&lt;0,"Advance paid",IF(N(M44)&gt;0,"⚠ MSME deadline",IF(N(L44)&gt;0,"Overdue",IF(K44&gt;0,"Within credit","✔ Clear")))))</f>
        <v/>
      </c>
      <c r="O44" s="50" t="str">
        <f aca="false">IF(B44="","",IF(COUNTIF($B$7:$B$106,B44)&gt;1,"⚠ Name used twice",IF(AND(OR(F44="Micro",F44="Small"),G44=""),"Add Udyam no.","✔")))</f>
        <v/>
      </c>
      <c r="Q44" s="9" t="n">
        <f aca="false">IF(B44="",0,IF(E44="",Setup!$C$7,E44))</f>
        <v>0</v>
      </c>
      <c r="R44" s="9" t="n">
        <f aca="false">IF(B44="",0,SUMIFS(Payments!$J$8:$J$507,Payments!$C$8:$C$507,B44))</f>
        <v>0</v>
      </c>
      <c r="S44" s="9" t="str">
        <f aca="false">IF(OR(F44="Micro",F44="Small"),IF(H44="Yes",MIN(45,Q44),15),"")</f>
        <v/>
      </c>
    </row>
    <row r="45" customFormat="false" ht="15" hidden="false" customHeight="false" outlineLevel="0" collapsed="false">
      <c r="A45" s="40" t="str">
        <f aca="false">IF(B45="","",ROW()-6)</f>
        <v/>
      </c>
      <c r="B45" s="74"/>
      <c r="C45" s="75"/>
      <c r="D45" s="76"/>
      <c r="E45" s="77"/>
      <c r="F45" s="78"/>
      <c r="G45" s="75"/>
      <c r="H45" s="78"/>
      <c r="I45" s="46" t="str">
        <f aca="false">IF(B45="","",SUMIFS(Bills!$E$8:$E$507,Bills!$D$8:$D$507,B45))</f>
        <v/>
      </c>
      <c r="J45" s="46" t="str">
        <f aca="false">IF(B45="","",SUMIFS(Payments!$D$8:$D$507,Payments!$C$8:$C$507,B45))</f>
        <v/>
      </c>
      <c r="K45" s="47" t="str">
        <f aca="false">IF(B45="","",SUMIFS(Bills!$K$8:$K$507,Bills!$D$8:$D$507,B45)-MAX(0,R45-SUMIFS(Bills!$P$8:$P$507,Bills!$D$8:$D$507,B45)))</f>
        <v/>
      </c>
      <c r="L45" s="48" t="str">
        <f aca="false">IF(B45="","",SUMIFS(Bills!$K$8:$K$507,Bills!$D$8:$D$507,B45,Bills!$L$8:$L$507,"&gt;0"))</f>
        <v/>
      </c>
      <c r="M45" s="48" t="str">
        <f aca="false">IF(B45="","",SUMIFS(Bills!$K$8:$K$507,Bills!$D$8:$D$507,B45,Bills!$V$8:$V$507,"&lt;="&amp;Setup!$C$9))</f>
        <v/>
      </c>
      <c r="N45" s="49" t="str">
        <f aca="false">IF(B45="","",IF(K45&lt;0,"Advance paid",IF(N(M45)&gt;0,"⚠ MSME deadline",IF(N(L45)&gt;0,"Overdue",IF(K45&gt;0,"Within credit","✔ Clear")))))</f>
        <v/>
      </c>
      <c r="O45" s="50" t="str">
        <f aca="false">IF(B45="","",IF(COUNTIF($B$7:$B$106,B45)&gt;1,"⚠ Name used twice",IF(AND(OR(F45="Micro",F45="Small"),G45=""),"Add Udyam no.","✔")))</f>
        <v/>
      </c>
      <c r="Q45" s="9" t="n">
        <f aca="false">IF(B45="",0,IF(E45="",Setup!$C$7,E45))</f>
        <v>0</v>
      </c>
      <c r="R45" s="9" t="n">
        <f aca="false">IF(B45="",0,SUMIFS(Payments!$J$8:$J$507,Payments!$C$8:$C$507,B45))</f>
        <v>0</v>
      </c>
      <c r="S45" s="9" t="str">
        <f aca="false">IF(OR(F45="Micro",F45="Small"),IF(H45="Yes",MIN(45,Q45),15),"")</f>
        <v/>
      </c>
    </row>
    <row r="46" customFormat="false" ht="15" hidden="false" customHeight="false" outlineLevel="0" collapsed="false">
      <c r="A46" s="40" t="str">
        <f aca="false">IF(B46="","",ROW()-6)</f>
        <v/>
      </c>
      <c r="B46" s="74"/>
      <c r="C46" s="75"/>
      <c r="D46" s="76"/>
      <c r="E46" s="77"/>
      <c r="F46" s="78"/>
      <c r="G46" s="75"/>
      <c r="H46" s="78"/>
      <c r="I46" s="46" t="str">
        <f aca="false">IF(B46="","",SUMIFS(Bills!$E$8:$E$507,Bills!$D$8:$D$507,B46))</f>
        <v/>
      </c>
      <c r="J46" s="46" t="str">
        <f aca="false">IF(B46="","",SUMIFS(Payments!$D$8:$D$507,Payments!$C$8:$C$507,B46))</f>
        <v/>
      </c>
      <c r="K46" s="47" t="str">
        <f aca="false">IF(B46="","",SUMIFS(Bills!$K$8:$K$507,Bills!$D$8:$D$507,B46)-MAX(0,R46-SUMIFS(Bills!$P$8:$P$507,Bills!$D$8:$D$507,B46)))</f>
        <v/>
      </c>
      <c r="L46" s="48" t="str">
        <f aca="false">IF(B46="","",SUMIFS(Bills!$K$8:$K$507,Bills!$D$8:$D$507,B46,Bills!$L$8:$L$507,"&gt;0"))</f>
        <v/>
      </c>
      <c r="M46" s="48" t="str">
        <f aca="false">IF(B46="","",SUMIFS(Bills!$K$8:$K$507,Bills!$D$8:$D$507,B46,Bills!$V$8:$V$507,"&lt;="&amp;Setup!$C$9))</f>
        <v/>
      </c>
      <c r="N46" s="49" t="str">
        <f aca="false">IF(B46="","",IF(K46&lt;0,"Advance paid",IF(N(M46)&gt;0,"⚠ MSME deadline",IF(N(L46)&gt;0,"Overdue",IF(K46&gt;0,"Within credit","✔ Clear")))))</f>
        <v/>
      </c>
      <c r="O46" s="50" t="str">
        <f aca="false">IF(B46="","",IF(COUNTIF($B$7:$B$106,B46)&gt;1,"⚠ Name used twice",IF(AND(OR(F46="Micro",F46="Small"),G46=""),"Add Udyam no.","✔")))</f>
        <v/>
      </c>
      <c r="Q46" s="9" t="n">
        <f aca="false">IF(B46="",0,IF(E46="",Setup!$C$7,E46))</f>
        <v>0</v>
      </c>
      <c r="R46" s="9" t="n">
        <f aca="false">IF(B46="",0,SUMIFS(Payments!$J$8:$J$507,Payments!$C$8:$C$507,B46))</f>
        <v>0</v>
      </c>
      <c r="S46" s="9" t="str">
        <f aca="false">IF(OR(F46="Micro",F46="Small"),IF(H46="Yes",MIN(45,Q46),15),"")</f>
        <v/>
      </c>
    </row>
    <row r="47" customFormat="false" ht="15" hidden="false" customHeight="false" outlineLevel="0" collapsed="false">
      <c r="A47" s="40" t="str">
        <f aca="false">IF(B47="","",ROW()-6)</f>
        <v/>
      </c>
      <c r="B47" s="74"/>
      <c r="C47" s="75"/>
      <c r="D47" s="76"/>
      <c r="E47" s="77"/>
      <c r="F47" s="78"/>
      <c r="G47" s="75"/>
      <c r="H47" s="78"/>
      <c r="I47" s="46" t="str">
        <f aca="false">IF(B47="","",SUMIFS(Bills!$E$8:$E$507,Bills!$D$8:$D$507,B47))</f>
        <v/>
      </c>
      <c r="J47" s="46" t="str">
        <f aca="false">IF(B47="","",SUMIFS(Payments!$D$8:$D$507,Payments!$C$8:$C$507,B47))</f>
        <v/>
      </c>
      <c r="K47" s="47" t="str">
        <f aca="false">IF(B47="","",SUMIFS(Bills!$K$8:$K$507,Bills!$D$8:$D$507,B47)-MAX(0,R47-SUMIFS(Bills!$P$8:$P$507,Bills!$D$8:$D$507,B47)))</f>
        <v/>
      </c>
      <c r="L47" s="48" t="str">
        <f aca="false">IF(B47="","",SUMIFS(Bills!$K$8:$K$507,Bills!$D$8:$D$507,B47,Bills!$L$8:$L$507,"&gt;0"))</f>
        <v/>
      </c>
      <c r="M47" s="48" t="str">
        <f aca="false">IF(B47="","",SUMIFS(Bills!$K$8:$K$507,Bills!$D$8:$D$507,B47,Bills!$V$8:$V$507,"&lt;="&amp;Setup!$C$9))</f>
        <v/>
      </c>
      <c r="N47" s="49" t="str">
        <f aca="false">IF(B47="","",IF(K47&lt;0,"Advance paid",IF(N(M47)&gt;0,"⚠ MSME deadline",IF(N(L47)&gt;0,"Overdue",IF(K47&gt;0,"Within credit","✔ Clear")))))</f>
        <v/>
      </c>
      <c r="O47" s="50" t="str">
        <f aca="false">IF(B47="","",IF(COUNTIF($B$7:$B$106,B47)&gt;1,"⚠ Name used twice",IF(AND(OR(F47="Micro",F47="Small"),G47=""),"Add Udyam no.","✔")))</f>
        <v/>
      </c>
      <c r="Q47" s="9" t="n">
        <f aca="false">IF(B47="",0,IF(E47="",Setup!$C$7,E47))</f>
        <v>0</v>
      </c>
      <c r="R47" s="9" t="n">
        <f aca="false">IF(B47="",0,SUMIFS(Payments!$J$8:$J$507,Payments!$C$8:$C$507,B47))</f>
        <v>0</v>
      </c>
      <c r="S47" s="9" t="str">
        <f aca="false">IF(OR(F47="Micro",F47="Small"),IF(H47="Yes",MIN(45,Q47),15),"")</f>
        <v/>
      </c>
    </row>
    <row r="48" customFormat="false" ht="15" hidden="false" customHeight="false" outlineLevel="0" collapsed="false">
      <c r="A48" s="40" t="str">
        <f aca="false">IF(B48="","",ROW()-6)</f>
        <v/>
      </c>
      <c r="B48" s="74"/>
      <c r="C48" s="75"/>
      <c r="D48" s="76"/>
      <c r="E48" s="77"/>
      <c r="F48" s="78"/>
      <c r="G48" s="75"/>
      <c r="H48" s="78"/>
      <c r="I48" s="46" t="str">
        <f aca="false">IF(B48="","",SUMIFS(Bills!$E$8:$E$507,Bills!$D$8:$D$507,B48))</f>
        <v/>
      </c>
      <c r="J48" s="46" t="str">
        <f aca="false">IF(B48="","",SUMIFS(Payments!$D$8:$D$507,Payments!$C$8:$C$507,B48))</f>
        <v/>
      </c>
      <c r="K48" s="47" t="str">
        <f aca="false">IF(B48="","",SUMIFS(Bills!$K$8:$K$507,Bills!$D$8:$D$507,B48)-MAX(0,R48-SUMIFS(Bills!$P$8:$P$507,Bills!$D$8:$D$507,B48)))</f>
        <v/>
      </c>
      <c r="L48" s="48" t="str">
        <f aca="false">IF(B48="","",SUMIFS(Bills!$K$8:$K$507,Bills!$D$8:$D$507,B48,Bills!$L$8:$L$507,"&gt;0"))</f>
        <v/>
      </c>
      <c r="M48" s="48" t="str">
        <f aca="false">IF(B48="","",SUMIFS(Bills!$K$8:$K$507,Bills!$D$8:$D$507,B48,Bills!$V$8:$V$507,"&lt;="&amp;Setup!$C$9))</f>
        <v/>
      </c>
      <c r="N48" s="49" t="str">
        <f aca="false">IF(B48="","",IF(K48&lt;0,"Advance paid",IF(N(M48)&gt;0,"⚠ MSME deadline",IF(N(L48)&gt;0,"Overdue",IF(K48&gt;0,"Within credit","✔ Clear")))))</f>
        <v/>
      </c>
      <c r="O48" s="50" t="str">
        <f aca="false">IF(B48="","",IF(COUNTIF($B$7:$B$106,B48)&gt;1,"⚠ Name used twice",IF(AND(OR(F48="Micro",F48="Small"),G48=""),"Add Udyam no.","✔")))</f>
        <v/>
      </c>
      <c r="Q48" s="9" t="n">
        <f aca="false">IF(B48="",0,IF(E48="",Setup!$C$7,E48))</f>
        <v>0</v>
      </c>
      <c r="R48" s="9" t="n">
        <f aca="false">IF(B48="",0,SUMIFS(Payments!$J$8:$J$507,Payments!$C$8:$C$507,B48))</f>
        <v>0</v>
      </c>
      <c r="S48" s="9" t="str">
        <f aca="false">IF(OR(F48="Micro",F48="Small"),IF(H48="Yes",MIN(45,Q48),15),"")</f>
        <v/>
      </c>
    </row>
    <row r="49" customFormat="false" ht="15" hidden="false" customHeight="false" outlineLevel="0" collapsed="false">
      <c r="A49" s="40" t="str">
        <f aca="false">IF(B49="","",ROW()-6)</f>
        <v/>
      </c>
      <c r="B49" s="74"/>
      <c r="C49" s="75"/>
      <c r="D49" s="76"/>
      <c r="E49" s="77"/>
      <c r="F49" s="78"/>
      <c r="G49" s="75"/>
      <c r="H49" s="78"/>
      <c r="I49" s="46" t="str">
        <f aca="false">IF(B49="","",SUMIFS(Bills!$E$8:$E$507,Bills!$D$8:$D$507,B49))</f>
        <v/>
      </c>
      <c r="J49" s="46" t="str">
        <f aca="false">IF(B49="","",SUMIFS(Payments!$D$8:$D$507,Payments!$C$8:$C$507,B49))</f>
        <v/>
      </c>
      <c r="K49" s="47" t="str">
        <f aca="false">IF(B49="","",SUMIFS(Bills!$K$8:$K$507,Bills!$D$8:$D$507,B49)-MAX(0,R49-SUMIFS(Bills!$P$8:$P$507,Bills!$D$8:$D$507,B49)))</f>
        <v/>
      </c>
      <c r="L49" s="48" t="str">
        <f aca="false">IF(B49="","",SUMIFS(Bills!$K$8:$K$507,Bills!$D$8:$D$507,B49,Bills!$L$8:$L$507,"&gt;0"))</f>
        <v/>
      </c>
      <c r="M49" s="48" t="str">
        <f aca="false">IF(B49="","",SUMIFS(Bills!$K$8:$K$507,Bills!$D$8:$D$507,B49,Bills!$V$8:$V$507,"&lt;="&amp;Setup!$C$9))</f>
        <v/>
      </c>
      <c r="N49" s="49" t="str">
        <f aca="false">IF(B49="","",IF(K49&lt;0,"Advance paid",IF(N(M49)&gt;0,"⚠ MSME deadline",IF(N(L49)&gt;0,"Overdue",IF(K49&gt;0,"Within credit","✔ Clear")))))</f>
        <v/>
      </c>
      <c r="O49" s="50" t="str">
        <f aca="false">IF(B49="","",IF(COUNTIF($B$7:$B$106,B49)&gt;1,"⚠ Name used twice",IF(AND(OR(F49="Micro",F49="Small"),G49=""),"Add Udyam no.","✔")))</f>
        <v/>
      </c>
      <c r="Q49" s="9" t="n">
        <f aca="false">IF(B49="",0,IF(E49="",Setup!$C$7,E49))</f>
        <v>0</v>
      </c>
      <c r="R49" s="9" t="n">
        <f aca="false">IF(B49="",0,SUMIFS(Payments!$J$8:$J$507,Payments!$C$8:$C$507,B49))</f>
        <v>0</v>
      </c>
      <c r="S49" s="9" t="str">
        <f aca="false">IF(OR(F49="Micro",F49="Small"),IF(H49="Yes",MIN(45,Q49),15),"")</f>
        <v/>
      </c>
    </row>
    <row r="50" customFormat="false" ht="15" hidden="false" customHeight="false" outlineLevel="0" collapsed="false">
      <c r="A50" s="40" t="str">
        <f aca="false">IF(B50="","",ROW()-6)</f>
        <v/>
      </c>
      <c r="B50" s="74"/>
      <c r="C50" s="75"/>
      <c r="D50" s="76"/>
      <c r="E50" s="77"/>
      <c r="F50" s="78"/>
      <c r="G50" s="75"/>
      <c r="H50" s="78"/>
      <c r="I50" s="46" t="str">
        <f aca="false">IF(B50="","",SUMIFS(Bills!$E$8:$E$507,Bills!$D$8:$D$507,B50))</f>
        <v/>
      </c>
      <c r="J50" s="46" t="str">
        <f aca="false">IF(B50="","",SUMIFS(Payments!$D$8:$D$507,Payments!$C$8:$C$507,B50))</f>
        <v/>
      </c>
      <c r="K50" s="47" t="str">
        <f aca="false">IF(B50="","",SUMIFS(Bills!$K$8:$K$507,Bills!$D$8:$D$507,B50)-MAX(0,R50-SUMIFS(Bills!$P$8:$P$507,Bills!$D$8:$D$507,B50)))</f>
        <v/>
      </c>
      <c r="L50" s="48" t="str">
        <f aca="false">IF(B50="","",SUMIFS(Bills!$K$8:$K$507,Bills!$D$8:$D$507,B50,Bills!$L$8:$L$507,"&gt;0"))</f>
        <v/>
      </c>
      <c r="M50" s="48" t="str">
        <f aca="false">IF(B50="","",SUMIFS(Bills!$K$8:$K$507,Bills!$D$8:$D$507,B50,Bills!$V$8:$V$507,"&lt;="&amp;Setup!$C$9))</f>
        <v/>
      </c>
      <c r="N50" s="49" t="str">
        <f aca="false">IF(B50="","",IF(K50&lt;0,"Advance paid",IF(N(M50)&gt;0,"⚠ MSME deadline",IF(N(L50)&gt;0,"Overdue",IF(K50&gt;0,"Within credit","✔ Clear")))))</f>
        <v/>
      </c>
      <c r="O50" s="50" t="str">
        <f aca="false">IF(B50="","",IF(COUNTIF($B$7:$B$106,B50)&gt;1,"⚠ Name used twice",IF(AND(OR(F50="Micro",F50="Small"),G50=""),"Add Udyam no.","✔")))</f>
        <v/>
      </c>
      <c r="Q50" s="9" t="n">
        <f aca="false">IF(B50="",0,IF(E50="",Setup!$C$7,E50))</f>
        <v>0</v>
      </c>
      <c r="R50" s="9" t="n">
        <f aca="false">IF(B50="",0,SUMIFS(Payments!$J$8:$J$507,Payments!$C$8:$C$507,B50))</f>
        <v>0</v>
      </c>
      <c r="S50" s="9" t="str">
        <f aca="false">IF(OR(F50="Micro",F50="Small"),IF(H50="Yes",MIN(45,Q50),15),"")</f>
        <v/>
      </c>
    </row>
    <row r="51" customFormat="false" ht="15" hidden="false" customHeight="false" outlineLevel="0" collapsed="false">
      <c r="A51" s="40" t="str">
        <f aca="false">IF(B51="","",ROW()-6)</f>
        <v/>
      </c>
      <c r="B51" s="74"/>
      <c r="C51" s="75"/>
      <c r="D51" s="76"/>
      <c r="E51" s="77"/>
      <c r="F51" s="78"/>
      <c r="G51" s="75"/>
      <c r="H51" s="78"/>
      <c r="I51" s="46" t="str">
        <f aca="false">IF(B51="","",SUMIFS(Bills!$E$8:$E$507,Bills!$D$8:$D$507,B51))</f>
        <v/>
      </c>
      <c r="J51" s="46" t="str">
        <f aca="false">IF(B51="","",SUMIFS(Payments!$D$8:$D$507,Payments!$C$8:$C$507,B51))</f>
        <v/>
      </c>
      <c r="K51" s="47" t="str">
        <f aca="false">IF(B51="","",SUMIFS(Bills!$K$8:$K$507,Bills!$D$8:$D$507,B51)-MAX(0,R51-SUMIFS(Bills!$P$8:$P$507,Bills!$D$8:$D$507,B51)))</f>
        <v/>
      </c>
      <c r="L51" s="48" t="str">
        <f aca="false">IF(B51="","",SUMIFS(Bills!$K$8:$K$507,Bills!$D$8:$D$507,B51,Bills!$L$8:$L$507,"&gt;0"))</f>
        <v/>
      </c>
      <c r="M51" s="48" t="str">
        <f aca="false">IF(B51="","",SUMIFS(Bills!$K$8:$K$507,Bills!$D$8:$D$507,B51,Bills!$V$8:$V$507,"&lt;="&amp;Setup!$C$9))</f>
        <v/>
      </c>
      <c r="N51" s="49" t="str">
        <f aca="false">IF(B51="","",IF(K51&lt;0,"Advance paid",IF(N(M51)&gt;0,"⚠ MSME deadline",IF(N(L51)&gt;0,"Overdue",IF(K51&gt;0,"Within credit","✔ Clear")))))</f>
        <v/>
      </c>
      <c r="O51" s="50" t="str">
        <f aca="false">IF(B51="","",IF(COUNTIF($B$7:$B$106,B51)&gt;1,"⚠ Name used twice",IF(AND(OR(F51="Micro",F51="Small"),G51=""),"Add Udyam no.","✔")))</f>
        <v/>
      </c>
      <c r="Q51" s="9" t="n">
        <f aca="false">IF(B51="",0,IF(E51="",Setup!$C$7,E51))</f>
        <v>0</v>
      </c>
      <c r="R51" s="9" t="n">
        <f aca="false">IF(B51="",0,SUMIFS(Payments!$J$8:$J$507,Payments!$C$8:$C$507,B51))</f>
        <v>0</v>
      </c>
      <c r="S51" s="9" t="str">
        <f aca="false">IF(OR(F51="Micro",F51="Small"),IF(H51="Yes",MIN(45,Q51),15),"")</f>
        <v/>
      </c>
    </row>
    <row r="52" customFormat="false" ht="15" hidden="false" customHeight="false" outlineLevel="0" collapsed="false">
      <c r="A52" s="40" t="str">
        <f aca="false">IF(B52="","",ROW()-6)</f>
        <v/>
      </c>
      <c r="B52" s="74"/>
      <c r="C52" s="75"/>
      <c r="D52" s="76"/>
      <c r="E52" s="77"/>
      <c r="F52" s="78"/>
      <c r="G52" s="75"/>
      <c r="H52" s="78"/>
      <c r="I52" s="46" t="str">
        <f aca="false">IF(B52="","",SUMIFS(Bills!$E$8:$E$507,Bills!$D$8:$D$507,B52))</f>
        <v/>
      </c>
      <c r="J52" s="46" t="str">
        <f aca="false">IF(B52="","",SUMIFS(Payments!$D$8:$D$507,Payments!$C$8:$C$507,B52))</f>
        <v/>
      </c>
      <c r="K52" s="47" t="str">
        <f aca="false">IF(B52="","",SUMIFS(Bills!$K$8:$K$507,Bills!$D$8:$D$507,B52)-MAX(0,R52-SUMIFS(Bills!$P$8:$P$507,Bills!$D$8:$D$507,B52)))</f>
        <v/>
      </c>
      <c r="L52" s="48" t="str">
        <f aca="false">IF(B52="","",SUMIFS(Bills!$K$8:$K$507,Bills!$D$8:$D$507,B52,Bills!$L$8:$L$507,"&gt;0"))</f>
        <v/>
      </c>
      <c r="M52" s="48" t="str">
        <f aca="false">IF(B52="","",SUMIFS(Bills!$K$8:$K$507,Bills!$D$8:$D$507,B52,Bills!$V$8:$V$507,"&lt;="&amp;Setup!$C$9))</f>
        <v/>
      </c>
      <c r="N52" s="49" t="str">
        <f aca="false">IF(B52="","",IF(K52&lt;0,"Advance paid",IF(N(M52)&gt;0,"⚠ MSME deadline",IF(N(L52)&gt;0,"Overdue",IF(K52&gt;0,"Within credit","✔ Clear")))))</f>
        <v/>
      </c>
      <c r="O52" s="50" t="str">
        <f aca="false">IF(B52="","",IF(COUNTIF($B$7:$B$106,B52)&gt;1,"⚠ Name used twice",IF(AND(OR(F52="Micro",F52="Small"),G52=""),"Add Udyam no.","✔")))</f>
        <v/>
      </c>
      <c r="Q52" s="9" t="n">
        <f aca="false">IF(B52="",0,IF(E52="",Setup!$C$7,E52))</f>
        <v>0</v>
      </c>
      <c r="R52" s="9" t="n">
        <f aca="false">IF(B52="",0,SUMIFS(Payments!$J$8:$J$507,Payments!$C$8:$C$507,B52))</f>
        <v>0</v>
      </c>
      <c r="S52" s="9" t="str">
        <f aca="false">IF(OR(F52="Micro",F52="Small"),IF(H52="Yes",MIN(45,Q52),15),"")</f>
        <v/>
      </c>
    </row>
    <row r="53" customFormat="false" ht="15" hidden="false" customHeight="false" outlineLevel="0" collapsed="false">
      <c r="A53" s="40" t="str">
        <f aca="false">IF(B53="","",ROW()-6)</f>
        <v/>
      </c>
      <c r="B53" s="74"/>
      <c r="C53" s="75"/>
      <c r="D53" s="76"/>
      <c r="E53" s="77"/>
      <c r="F53" s="78"/>
      <c r="G53" s="75"/>
      <c r="H53" s="78"/>
      <c r="I53" s="46" t="str">
        <f aca="false">IF(B53="","",SUMIFS(Bills!$E$8:$E$507,Bills!$D$8:$D$507,B53))</f>
        <v/>
      </c>
      <c r="J53" s="46" t="str">
        <f aca="false">IF(B53="","",SUMIFS(Payments!$D$8:$D$507,Payments!$C$8:$C$507,B53))</f>
        <v/>
      </c>
      <c r="K53" s="47" t="str">
        <f aca="false">IF(B53="","",SUMIFS(Bills!$K$8:$K$507,Bills!$D$8:$D$507,B53)-MAX(0,R53-SUMIFS(Bills!$P$8:$P$507,Bills!$D$8:$D$507,B53)))</f>
        <v/>
      </c>
      <c r="L53" s="48" t="str">
        <f aca="false">IF(B53="","",SUMIFS(Bills!$K$8:$K$507,Bills!$D$8:$D$507,B53,Bills!$L$8:$L$507,"&gt;0"))</f>
        <v/>
      </c>
      <c r="M53" s="48" t="str">
        <f aca="false">IF(B53="","",SUMIFS(Bills!$K$8:$K$507,Bills!$D$8:$D$507,B53,Bills!$V$8:$V$507,"&lt;="&amp;Setup!$C$9))</f>
        <v/>
      </c>
      <c r="N53" s="49" t="str">
        <f aca="false">IF(B53="","",IF(K53&lt;0,"Advance paid",IF(N(M53)&gt;0,"⚠ MSME deadline",IF(N(L53)&gt;0,"Overdue",IF(K53&gt;0,"Within credit","✔ Clear")))))</f>
        <v/>
      </c>
      <c r="O53" s="50" t="str">
        <f aca="false">IF(B53="","",IF(COUNTIF($B$7:$B$106,B53)&gt;1,"⚠ Name used twice",IF(AND(OR(F53="Micro",F53="Small"),G53=""),"Add Udyam no.","✔")))</f>
        <v/>
      </c>
      <c r="Q53" s="9" t="n">
        <f aca="false">IF(B53="",0,IF(E53="",Setup!$C$7,E53))</f>
        <v>0</v>
      </c>
      <c r="R53" s="9" t="n">
        <f aca="false">IF(B53="",0,SUMIFS(Payments!$J$8:$J$507,Payments!$C$8:$C$507,B53))</f>
        <v>0</v>
      </c>
      <c r="S53" s="9" t="str">
        <f aca="false">IF(OR(F53="Micro",F53="Small"),IF(H53="Yes",MIN(45,Q53),15),"")</f>
        <v/>
      </c>
    </row>
    <row r="54" customFormat="false" ht="15" hidden="false" customHeight="false" outlineLevel="0" collapsed="false">
      <c r="A54" s="40" t="str">
        <f aca="false">IF(B54="","",ROW()-6)</f>
        <v/>
      </c>
      <c r="B54" s="74"/>
      <c r="C54" s="75"/>
      <c r="D54" s="76"/>
      <c r="E54" s="77"/>
      <c r="F54" s="78"/>
      <c r="G54" s="75"/>
      <c r="H54" s="78"/>
      <c r="I54" s="46" t="str">
        <f aca="false">IF(B54="","",SUMIFS(Bills!$E$8:$E$507,Bills!$D$8:$D$507,B54))</f>
        <v/>
      </c>
      <c r="J54" s="46" t="str">
        <f aca="false">IF(B54="","",SUMIFS(Payments!$D$8:$D$507,Payments!$C$8:$C$507,B54))</f>
        <v/>
      </c>
      <c r="K54" s="47" t="str">
        <f aca="false">IF(B54="","",SUMIFS(Bills!$K$8:$K$507,Bills!$D$8:$D$507,B54)-MAX(0,R54-SUMIFS(Bills!$P$8:$P$507,Bills!$D$8:$D$507,B54)))</f>
        <v/>
      </c>
      <c r="L54" s="48" t="str">
        <f aca="false">IF(B54="","",SUMIFS(Bills!$K$8:$K$507,Bills!$D$8:$D$507,B54,Bills!$L$8:$L$507,"&gt;0"))</f>
        <v/>
      </c>
      <c r="M54" s="48" t="str">
        <f aca="false">IF(B54="","",SUMIFS(Bills!$K$8:$K$507,Bills!$D$8:$D$507,B54,Bills!$V$8:$V$507,"&lt;="&amp;Setup!$C$9))</f>
        <v/>
      </c>
      <c r="N54" s="49" t="str">
        <f aca="false">IF(B54="","",IF(K54&lt;0,"Advance paid",IF(N(M54)&gt;0,"⚠ MSME deadline",IF(N(L54)&gt;0,"Overdue",IF(K54&gt;0,"Within credit","✔ Clear")))))</f>
        <v/>
      </c>
      <c r="O54" s="50" t="str">
        <f aca="false">IF(B54="","",IF(COUNTIF($B$7:$B$106,B54)&gt;1,"⚠ Name used twice",IF(AND(OR(F54="Micro",F54="Small"),G54=""),"Add Udyam no.","✔")))</f>
        <v/>
      </c>
      <c r="Q54" s="9" t="n">
        <f aca="false">IF(B54="",0,IF(E54="",Setup!$C$7,E54))</f>
        <v>0</v>
      </c>
      <c r="R54" s="9" t="n">
        <f aca="false">IF(B54="",0,SUMIFS(Payments!$J$8:$J$507,Payments!$C$8:$C$507,B54))</f>
        <v>0</v>
      </c>
      <c r="S54" s="9" t="str">
        <f aca="false">IF(OR(F54="Micro",F54="Small"),IF(H54="Yes",MIN(45,Q54),15),"")</f>
        <v/>
      </c>
    </row>
    <row r="55" customFormat="false" ht="15" hidden="false" customHeight="false" outlineLevel="0" collapsed="false">
      <c r="A55" s="40" t="str">
        <f aca="false">IF(B55="","",ROW()-6)</f>
        <v/>
      </c>
      <c r="B55" s="74"/>
      <c r="C55" s="75"/>
      <c r="D55" s="76"/>
      <c r="E55" s="77"/>
      <c r="F55" s="78"/>
      <c r="G55" s="75"/>
      <c r="H55" s="78"/>
      <c r="I55" s="46" t="str">
        <f aca="false">IF(B55="","",SUMIFS(Bills!$E$8:$E$507,Bills!$D$8:$D$507,B55))</f>
        <v/>
      </c>
      <c r="J55" s="46" t="str">
        <f aca="false">IF(B55="","",SUMIFS(Payments!$D$8:$D$507,Payments!$C$8:$C$507,B55))</f>
        <v/>
      </c>
      <c r="K55" s="47" t="str">
        <f aca="false">IF(B55="","",SUMIFS(Bills!$K$8:$K$507,Bills!$D$8:$D$507,B55)-MAX(0,R55-SUMIFS(Bills!$P$8:$P$507,Bills!$D$8:$D$507,B55)))</f>
        <v/>
      </c>
      <c r="L55" s="48" t="str">
        <f aca="false">IF(B55="","",SUMIFS(Bills!$K$8:$K$507,Bills!$D$8:$D$507,B55,Bills!$L$8:$L$507,"&gt;0"))</f>
        <v/>
      </c>
      <c r="M55" s="48" t="str">
        <f aca="false">IF(B55="","",SUMIFS(Bills!$K$8:$K$507,Bills!$D$8:$D$507,B55,Bills!$V$8:$V$507,"&lt;="&amp;Setup!$C$9))</f>
        <v/>
      </c>
      <c r="N55" s="49" t="str">
        <f aca="false">IF(B55="","",IF(K55&lt;0,"Advance paid",IF(N(M55)&gt;0,"⚠ MSME deadline",IF(N(L55)&gt;0,"Overdue",IF(K55&gt;0,"Within credit","✔ Clear")))))</f>
        <v/>
      </c>
      <c r="O55" s="50" t="str">
        <f aca="false">IF(B55="","",IF(COUNTIF($B$7:$B$106,B55)&gt;1,"⚠ Name used twice",IF(AND(OR(F55="Micro",F55="Small"),G55=""),"Add Udyam no.","✔")))</f>
        <v/>
      </c>
      <c r="Q55" s="9" t="n">
        <f aca="false">IF(B55="",0,IF(E55="",Setup!$C$7,E55))</f>
        <v>0</v>
      </c>
      <c r="R55" s="9" t="n">
        <f aca="false">IF(B55="",0,SUMIFS(Payments!$J$8:$J$507,Payments!$C$8:$C$507,B55))</f>
        <v>0</v>
      </c>
      <c r="S55" s="9" t="str">
        <f aca="false">IF(OR(F55="Micro",F55="Small"),IF(H55="Yes",MIN(45,Q55),15),"")</f>
        <v/>
      </c>
    </row>
    <row r="56" customFormat="false" ht="15" hidden="false" customHeight="false" outlineLevel="0" collapsed="false">
      <c r="A56" s="40" t="str">
        <f aca="false">IF(B56="","",ROW()-6)</f>
        <v/>
      </c>
      <c r="B56" s="74"/>
      <c r="C56" s="75"/>
      <c r="D56" s="76"/>
      <c r="E56" s="77"/>
      <c r="F56" s="78"/>
      <c r="G56" s="75"/>
      <c r="H56" s="78"/>
      <c r="I56" s="46" t="str">
        <f aca="false">IF(B56="","",SUMIFS(Bills!$E$8:$E$507,Bills!$D$8:$D$507,B56))</f>
        <v/>
      </c>
      <c r="J56" s="46" t="str">
        <f aca="false">IF(B56="","",SUMIFS(Payments!$D$8:$D$507,Payments!$C$8:$C$507,B56))</f>
        <v/>
      </c>
      <c r="K56" s="47" t="str">
        <f aca="false">IF(B56="","",SUMIFS(Bills!$K$8:$K$507,Bills!$D$8:$D$507,B56)-MAX(0,R56-SUMIFS(Bills!$P$8:$P$507,Bills!$D$8:$D$507,B56)))</f>
        <v/>
      </c>
      <c r="L56" s="48" t="str">
        <f aca="false">IF(B56="","",SUMIFS(Bills!$K$8:$K$507,Bills!$D$8:$D$507,B56,Bills!$L$8:$L$507,"&gt;0"))</f>
        <v/>
      </c>
      <c r="M56" s="48" t="str">
        <f aca="false">IF(B56="","",SUMIFS(Bills!$K$8:$K$507,Bills!$D$8:$D$507,B56,Bills!$V$8:$V$507,"&lt;="&amp;Setup!$C$9))</f>
        <v/>
      </c>
      <c r="N56" s="49" t="str">
        <f aca="false">IF(B56="","",IF(K56&lt;0,"Advance paid",IF(N(M56)&gt;0,"⚠ MSME deadline",IF(N(L56)&gt;0,"Overdue",IF(K56&gt;0,"Within credit","✔ Clear")))))</f>
        <v/>
      </c>
      <c r="O56" s="50" t="str">
        <f aca="false">IF(B56="","",IF(COUNTIF($B$7:$B$106,B56)&gt;1,"⚠ Name used twice",IF(AND(OR(F56="Micro",F56="Small"),G56=""),"Add Udyam no.","✔")))</f>
        <v/>
      </c>
      <c r="Q56" s="9" t="n">
        <f aca="false">IF(B56="",0,IF(E56="",Setup!$C$7,E56))</f>
        <v>0</v>
      </c>
      <c r="R56" s="9" t="n">
        <f aca="false">IF(B56="",0,SUMIFS(Payments!$J$8:$J$507,Payments!$C$8:$C$507,B56))</f>
        <v>0</v>
      </c>
      <c r="S56" s="9" t="str">
        <f aca="false">IF(OR(F56="Micro",F56="Small"),IF(H56="Yes",MIN(45,Q56),15),"")</f>
        <v/>
      </c>
    </row>
    <row r="57" customFormat="false" ht="15" hidden="false" customHeight="false" outlineLevel="0" collapsed="false">
      <c r="A57" s="40" t="str">
        <f aca="false">IF(B57="","",ROW()-6)</f>
        <v/>
      </c>
      <c r="B57" s="74"/>
      <c r="C57" s="75"/>
      <c r="D57" s="76"/>
      <c r="E57" s="77"/>
      <c r="F57" s="78"/>
      <c r="G57" s="75"/>
      <c r="H57" s="78"/>
      <c r="I57" s="46" t="str">
        <f aca="false">IF(B57="","",SUMIFS(Bills!$E$8:$E$507,Bills!$D$8:$D$507,B57))</f>
        <v/>
      </c>
      <c r="J57" s="46" t="str">
        <f aca="false">IF(B57="","",SUMIFS(Payments!$D$8:$D$507,Payments!$C$8:$C$507,B57))</f>
        <v/>
      </c>
      <c r="K57" s="47" t="str">
        <f aca="false">IF(B57="","",SUMIFS(Bills!$K$8:$K$507,Bills!$D$8:$D$507,B57)-MAX(0,R57-SUMIFS(Bills!$P$8:$P$507,Bills!$D$8:$D$507,B57)))</f>
        <v/>
      </c>
      <c r="L57" s="48" t="str">
        <f aca="false">IF(B57="","",SUMIFS(Bills!$K$8:$K$507,Bills!$D$8:$D$507,B57,Bills!$L$8:$L$507,"&gt;0"))</f>
        <v/>
      </c>
      <c r="M57" s="48" t="str">
        <f aca="false">IF(B57="","",SUMIFS(Bills!$K$8:$K$507,Bills!$D$8:$D$507,B57,Bills!$V$8:$V$507,"&lt;="&amp;Setup!$C$9))</f>
        <v/>
      </c>
      <c r="N57" s="49" t="str">
        <f aca="false">IF(B57="","",IF(K57&lt;0,"Advance paid",IF(N(M57)&gt;0,"⚠ MSME deadline",IF(N(L57)&gt;0,"Overdue",IF(K57&gt;0,"Within credit","✔ Clear")))))</f>
        <v/>
      </c>
      <c r="O57" s="50" t="str">
        <f aca="false">IF(B57="","",IF(COUNTIF($B$7:$B$106,B57)&gt;1,"⚠ Name used twice",IF(AND(OR(F57="Micro",F57="Small"),G57=""),"Add Udyam no.","✔")))</f>
        <v/>
      </c>
      <c r="Q57" s="9" t="n">
        <f aca="false">IF(B57="",0,IF(E57="",Setup!$C$7,E57))</f>
        <v>0</v>
      </c>
      <c r="R57" s="9" t="n">
        <f aca="false">IF(B57="",0,SUMIFS(Payments!$J$8:$J$507,Payments!$C$8:$C$507,B57))</f>
        <v>0</v>
      </c>
      <c r="S57" s="9" t="str">
        <f aca="false">IF(OR(F57="Micro",F57="Small"),IF(H57="Yes",MIN(45,Q57),15),"")</f>
        <v/>
      </c>
    </row>
    <row r="58" customFormat="false" ht="15" hidden="false" customHeight="false" outlineLevel="0" collapsed="false">
      <c r="A58" s="40" t="str">
        <f aca="false">IF(B58="","",ROW()-6)</f>
        <v/>
      </c>
      <c r="B58" s="74"/>
      <c r="C58" s="75"/>
      <c r="D58" s="76"/>
      <c r="E58" s="77"/>
      <c r="F58" s="78"/>
      <c r="G58" s="75"/>
      <c r="H58" s="78"/>
      <c r="I58" s="46" t="str">
        <f aca="false">IF(B58="","",SUMIFS(Bills!$E$8:$E$507,Bills!$D$8:$D$507,B58))</f>
        <v/>
      </c>
      <c r="J58" s="46" t="str">
        <f aca="false">IF(B58="","",SUMIFS(Payments!$D$8:$D$507,Payments!$C$8:$C$507,B58))</f>
        <v/>
      </c>
      <c r="K58" s="47" t="str">
        <f aca="false">IF(B58="","",SUMIFS(Bills!$K$8:$K$507,Bills!$D$8:$D$507,B58)-MAX(0,R58-SUMIFS(Bills!$P$8:$P$507,Bills!$D$8:$D$507,B58)))</f>
        <v/>
      </c>
      <c r="L58" s="48" t="str">
        <f aca="false">IF(B58="","",SUMIFS(Bills!$K$8:$K$507,Bills!$D$8:$D$507,B58,Bills!$L$8:$L$507,"&gt;0"))</f>
        <v/>
      </c>
      <c r="M58" s="48" t="str">
        <f aca="false">IF(B58="","",SUMIFS(Bills!$K$8:$K$507,Bills!$D$8:$D$507,B58,Bills!$V$8:$V$507,"&lt;="&amp;Setup!$C$9))</f>
        <v/>
      </c>
      <c r="N58" s="49" t="str">
        <f aca="false">IF(B58="","",IF(K58&lt;0,"Advance paid",IF(N(M58)&gt;0,"⚠ MSME deadline",IF(N(L58)&gt;0,"Overdue",IF(K58&gt;0,"Within credit","✔ Clear")))))</f>
        <v/>
      </c>
      <c r="O58" s="50" t="str">
        <f aca="false">IF(B58="","",IF(COUNTIF($B$7:$B$106,B58)&gt;1,"⚠ Name used twice",IF(AND(OR(F58="Micro",F58="Small"),G58=""),"Add Udyam no.","✔")))</f>
        <v/>
      </c>
      <c r="Q58" s="9" t="n">
        <f aca="false">IF(B58="",0,IF(E58="",Setup!$C$7,E58))</f>
        <v>0</v>
      </c>
      <c r="R58" s="9" t="n">
        <f aca="false">IF(B58="",0,SUMIFS(Payments!$J$8:$J$507,Payments!$C$8:$C$507,B58))</f>
        <v>0</v>
      </c>
      <c r="S58" s="9" t="str">
        <f aca="false">IF(OR(F58="Micro",F58="Small"),IF(H58="Yes",MIN(45,Q58),15),"")</f>
        <v/>
      </c>
    </row>
    <row r="59" customFormat="false" ht="15" hidden="false" customHeight="false" outlineLevel="0" collapsed="false">
      <c r="A59" s="40" t="str">
        <f aca="false">IF(B59="","",ROW()-6)</f>
        <v/>
      </c>
      <c r="B59" s="74"/>
      <c r="C59" s="75"/>
      <c r="D59" s="76"/>
      <c r="E59" s="77"/>
      <c r="F59" s="78"/>
      <c r="G59" s="75"/>
      <c r="H59" s="78"/>
      <c r="I59" s="46" t="str">
        <f aca="false">IF(B59="","",SUMIFS(Bills!$E$8:$E$507,Bills!$D$8:$D$507,B59))</f>
        <v/>
      </c>
      <c r="J59" s="46" t="str">
        <f aca="false">IF(B59="","",SUMIFS(Payments!$D$8:$D$507,Payments!$C$8:$C$507,B59))</f>
        <v/>
      </c>
      <c r="K59" s="47" t="str">
        <f aca="false">IF(B59="","",SUMIFS(Bills!$K$8:$K$507,Bills!$D$8:$D$507,B59)-MAX(0,R59-SUMIFS(Bills!$P$8:$P$507,Bills!$D$8:$D$507,B59)))</f>
        <v/>
      </c>
      <c r="L59" s="48" t="str">
        <f aca="false">IF(B59="","",SUMIFS(Bills!$K$8:$K$507,Bills!$D$8:$D$507,B59,Bills!$L$8:$L$507,"&gt;0"))</f>
        <v/>
      </c>
      <c r="M59" s="48" t="str">
        <f aca="false">IF(B59="","",SUMIFS(Bills!$K$8:$K$507,Bills!$D$8:$D$507,B59,Bills!$V$8:$V$507,"&lt;="&amp;Setup!$C$9))</f>
        <v/>
      </c>
      <c r="N59" s="49" t="str">
        <f aca="false">IF(B59="","",IF(K59&lt;0,"Advance paid",IF(N(M59)&gt;0,"⚠ MSME deadline",IF(N(L59)&gt;0,"Overdue",IF(K59&gt;0,"Within credit","✔ Clear")))))</f>
        <v/>
      </c>
      <c r="O59" s="50" t="str">
        <f aca="false">IF(B59="","",IF(COUNTIF($B$7:$B$106,B59)&gt;1,"⚠ Name used twice",IF(AND(OR(F59="Micro",F59="Small"),G59=""),"Add Udyam no.","✔")))</f>
        <v/>
      </c>
      <c r="Q59" s="9" t="n">
        <f aca="false">IF(B59="",0,IF(E59="",Setup!$C$7,E59))</f>
        <v>0</v>
      </c>
      <c r="R59" s="9" t="n">
        <f aca="false">IF(B59="",0,SUMIFS(Payments!$J$8:$J$507,Payments!$C$8:$C$507,B59))</f>
        <v>0</v>
      </c>
      <c r="S59" s="9" t="str">
        <f aca="false">IF(OR(F59="Micro",F59="Small"),IF(H59="Yes",MIN(45,Q59),15),"")</f>
        <v/>
      </c>
    </row>
    <row r="60" customFormat="false" ht="15" hidden="false" customHeight="false" outlineLevel="0" collapsed="false">
      <c r="A60" s="40" t="str">
        <f aca="false">IF(B60="","",ROW()-6)</f>
        <v/>
      </c>
      <c r="B60" s="74"/>
      <c r="C60" s="75"/>
      <c r="D60" s="76"/>
      <c r="E60" s="77"/>
      <c r="F60" s="78"/>
      <c r="G60" s="75"/>
      <c r="H60" s="78"/>
      <c r="I60" s="46" t="str">
        <f aca="false">IF(B60="","",SUMIFS(Bills!$E$8:$E$507,Bills!$D$8:$D$507,B60))</f>
        <v/>
      </c>
      <c r="J60" s="46" t="str">
        <f aca="false">IF(B60="","",SUMIFS(Payments!$D$8:$D$507,Payments!$C$8:$C$507,B60))</f>
        <v/>
      </c>
      <c r="K60" s="47" t="str">
        <f aca="false">IF(B60="","",SUMIFS(Bills!$K$8:$K$507,Bills!$D$8:$D$507,B60)-MAX(0,R60-SUMIFS(Bills!$P$8:$P$507,Bills!$D$8:$D$507,B60)))</f>
        <v/>
      </c>
      <c r="L60" s="48" t="str">
        <f aca="false">IF(B60="","",SUMIFS(Bills!$K$8:$K$507,Bills!$D$8:$D$507,B60,Bills!$L$8:$L$507,"&gt;0"))</f>
        <v/>
      </c>
      <c r="M60" s="48" t="str">
        <f aca="false">IF(B60="","",SUMIFS(Bills!$K$8:$K$507,Bills!$D$8:$D$507,B60,Bills!$V$8:$V$507,"&lt;="&amp;Setup!$C$9))</f>
        <v/>
      </c>
      <c r="N60" s="49" t="str">
        <f aca="false">IF(B60="","",IF(K60&lt;0,"Advance paid",IF(N(M60)&gt;0,"⚠ MSME deadline",IF(N(L60)&gt;0,"Overdue",IF(K60&gt;0,"Within credit","✔ Clear")))))</f>
        <v/>
      </c>
      <c r="O60" s="50" t="str">
        <f aca="false">IF(B60="","",IF(COUNTIF($B$7:$B$106,B60)&gt;1,"⚠ Name used twice",IF(AND(OR(F60="Micro",F60="Small"),G60=""),"Add Udyam no.","✔")))</f>
        <v/>
      </c>
      <c r="Q60" s="9" t="n">
        <f aca="false">IF(B60="",0,IF(E60="",Setup!$C$7,E60))</f>
        <v>0</v>
      </c>
      <c r="R60" s="9" t="n">
        <f aca="false">IF(B60="",0,SUMIFS(Payments!$J$8:$J$507,Payments!$C$8:$C$507,B60))</f>
        <v>0</v>
      </c>
      <c r="S60" s="9" t="str">
        <f aca="false">IF(OR(F60="Micro",F60="Small"),IF(H60="Yes",MIN(45,Q60),15),"")</f>
        <v/>
      </c>
    </row>
    <row r="61" customFormat="false" ht="15" hidden="false" customHeight="false" outlineLevel="0" collapsed="false">
      <c r="A61" s="40" t="str">
        <f aca="false">IF(B61="","",ROW()-6)</f>
        <v/>
      </c>
      <c r="B61" s="74"/>
      <c r="C61" s="75"/>
      <c r="D61" s="76"/>
      <c r="E61" s="77"/>
      <c r="F61" s="78"/>
      <c r="G61" s="75"/>
      <c r="H61" s="78"/>
      <c r="I61" s="46" t="str">
        <f aca="false">IF(B61="","",SUMIFS(Bills!$E$8:$E$507,Bills!$D$8:$D$507,B61))</f>
        <v/>
      </c>
      <c r="J61" s="46" t="str">
        <f aca="false">IF(B61="","",SUMIFS(Payments!$D$8:$D$507,Payments!$C$8:$C$507,B61))</f>
        <v/>
      </c>
      <c r="K61" s="47" t="str">
        <f aca="false">IF(B61="","",SUMIFS(Bills!$K$8:$K$507,Bills!$D$8:$D$507,B61)-MAX(0,R61-SUMIFS(Bills!$P$8:$P$507,Bills!$D$8:$D$507,B61)))</f>
        <v/>
      </c>
      <c r="L61" s="48" t="str">
        <f aca="false">IF(B61="","",SUMIFS(Bills!$K$8:$K$507,Bills!$D$8:$D$507,B61,Bills!$L$8:$L$507,"&gt;0"))</f>
        <v/>
      </c>
      <c r="M61" s="48" t="str">
        <f aca="false">IF(B61="","",SUMIFS(Bills!$K$8:$K$507,Bills!$D$8:$D$507,B61,Bills!$V$8:$V$507,"&lt;="&amp;Setup!$C$9))</f>
        <v/>
      </c>
      <c r="N61" s="49" t="str">
        <f aca="false">IF(B61="","",IF(K61&lt;0,"Advance paid",IF(N(M61)&gt;0,"⚠ MSME deadline",IF(N(L61)&gt;0,"Overdue",IF(K61&gt;0,"Within credit","✔ Clear")))))</f>
        <v/>
      </c>
      <c r="O61" s="50" t="str">
        <f aca="false">IF(B61="","",IF(COUNTIF($B$7:$B$106,B61)&gt;1,"⚠ Name used twice",IF(AND(OR(F61="Micro",F61="Small"),G61=""),"Add Udyam no.","✔")))</f>
        <v/>
      </c>
      <c r="Q61" s="9" t="n">
        <f aca="false">IF(B61="",0,IF(E61="",Setup!$C$7,E61))</f>
        <v>0</v>
      </c>
      <c r="R61" s="9" t="n">
        <f aca="false">IF(B61="",0,SUMIFS(Payments!$J$8:$J$507,Payments!$C$8:$C$507,B61))</f>
        <v>0</v>
      </c>
      <c r="S61" s="9" t="str">
        <f aca="false">IF(OR(F61="Micro",F61="Small"),IF(H61="Yes",MIN(45,Q61),15),"")</f>
        <v/>
      </c>
    </row>
    <row r="62" customFormat="false" ht="15" hidden="false" customHeight="false" outlineLevel="0" collapsed="false">
      <c r="A62" s="40" t="str">
        <f aca="false">IF(B62="","",ROW()-6)</f>
        <v/>
      </c>
      <c r="B62" s="74"/>
      <c r="C62" s="75"/>
      <c r="D62" s="76"/>
      <c r="E62" s="77"/>
      <c r="F62" s="78"/>
      <c r="G62" s="75"/>
      <c r="H62" s="78"/>
      <c r="I62" s="46" t="str">
        <f aca="false">IF(B62="","",SUMIFS(Bills!$E$8:$E$507,Bills!$D$8:$D$507,B62))</f>
        <v/>
      </c>
      <c r="J62" s="46" t="str">
        <f aca="false">IF(B62="","",SUMIFS(Payments!$D$8:$D$507,Payments!$C$8:$C$507,B62))</f>
        <v/>
      </c>
      <c r="K62" s="47" t="str">
        <f aca="false">IF(B62="","",SUMIFS(Bills!$K$8:$K$507,Bills!$D$8:$D$507,B62)-MAX(0,R62-SUMIFS(Bills!$P$8:$P$507,Bills!$D$8:$D$507,B62)))</f>
        <v/>
      </c>
      <c r="L62" s="48" t="str">
        <f aca="false">IF(B62="","",SUMIFS(Bills!$K$8:$K$507,Bills!$D$8:$D$507,B62,Bills!$L$8:$L$507,"&gt;0"))</f>
        <v/>
      </c>
      <c r="M62" s="48" t="str">
        <f aca="false">IF(B62="","",SUMIFS(Bills!$K$8:$K$507,Bills!$D$8:$D$507,B62,Bills!$V$8:$V$507,"&lt;="&amp;Setup!$C$9))</f>
        <v/>
      </c>
      <c r="N62" s="49" t="str">
        <f aca="false">IF(B62="","",IF(K62&lt;0,"Advance paid",IF(N(M62)&gt;0,"⚠ MSME deadline",IF(N(L62)&gt;0,"Overdue",IF(K62&gt;0,"Within credit","✔ Clear")))))</f>
        <v/>
      </c>
      <c r="O62" s="50" t="str">
        <f aca="false">IF(B62="","",IF(COUNTIF($B$7:$B$106,B62)&gt;1,"⚠ Name used twice",IF(AND(OR(F62="Micro",F62="Small"),G62=""),"Add Udyam no.","✔")))</f>
        <v/>
      </c>
      <c r="Q62" s="9" t="n">
        <f aca="false">IF(B62="",0,IF(E62="",Setup!$C$7,E62))</f>
        <v>0</v>
      </c>
      <c r="R62" s="9" t="n">
        <f aca="false">IF(B62="",0,SUMIFS(Payments!$J$8:$J$507,Payments!$C$8:$C$507,B62))</f>
        <v>0</v>
      </c>
      <c r="S62" s="9" t="str">
        <f aca="false">IF(OR(F62="Micro",F62="Small"),IF(H62="Yes",MIN(45,Q62),15),"")</f>
        <v/>
      </c>
    </row>
    <row r="63" customFormat="false" ht="15" hidden="false" customHeight="false" outlineLevel="0" collapsed="false">
      <c r="A63" s="40" t="str">
        <f aca="false">IF(B63="","",ROW()-6)</f>
        <v/>
      </c>
      <c r="B63" s="74"/>
      <c r="C63" s="75"/>
      <c r="D63" s="76"/>
      <c r="E63" s="77"/>
      <c r="F63" s="78"/>
      <c r="G63" s="75"/>
      <c r="H63" s="78"/>
      <c r="I63" s="46" t="str">
        <f aca="false">IF(B63="","",SUMIFS(Bills!$E$8:$E$507,Bills!$D$8:$D$507,B63))</f>
        <v/>
      </c>
      <c r="J63" s="46" t="str">
        <f aca="false">IF(B63="","",SUMIFS(Payments!$D$8:$D$507,Payments!$C$8:$C$507,B63))</f>
        <v/>
      </c>
      <c r="K63" s="47" t="str">
        <f aca="false">IF(B63="","",SUMIFS(Bills!$K$8:$K$507,Bills!$D$8:$D$507,B63)-MAX(0,R63-SUMIFS(Bills!$P$8:$P$507,Bills!$D$8:$D$507,B63)))</f>
        <v/>
      </c>
      <c r="L63" s="48" t="str">
        <f aca="false">IF(B63="","",SUMIFS(Bills!$K$8:$K$507,Bills!$D$8:$D$507,B63,Bills!$L$8:$L$507,"&gt;0"))</f>
        <v/>
      </c>
      <c r="M63" s="48" t="str">
        <f aca="false">IF(B63="","",SUMIFS(Bills!$K$8:$K$507,Bills!$D$8:$D$507,B63,Bills!$V$8:$V$507,"&lt;="&amp;Setup!$C$9))</f>
        <v/>
      </c>
      <c r="N63" s="49" t="str">
        <f aca="false">IF(B63="","",IF(K63&lt;0,"Advance paid",IF(N(M63)&gt;0,"⚠ MSME deadline",IF(N(L63)&gt;0,"Overdue",IF(K63&gt;0,"Within credit","✔ Clear")))))</f>
        <v/>
      </c>
      <c r="O63" s="50" t="str">
        <f aca="false">IF(B63="","",IF(COUNTIF($B$7:$B$106,B63)&gt;1,"⚠ Name used twice",IF(AND(OR(F63="Micro",F63="Small"),G63=""),"Add Udyam no.","✔")))</f>
        <v/>
      </c>
      <c r="Q63" s="9" t="n">
        <f aca="false">IF(B63="",0,IF(E63="",Setup!$C$7,E63))</f>
        <v>0</v>
      </c>
      <c r="R63" s="9" t="n">
        <f aca="false">IF(B63="",0,SUMIFS(Payments!$J$8:$J$507,Payments!$C$8:$C$507,B63))</f>
        <v>0</v>
      </c>
      <c r="S63" s="9" t="str">
        <f aca="false">IF(OR(F63="Micro",F63="Small"),IF(H63="Yes",MIN(45,Q63),15),"")</f>
        <v/>
      </c>
    </row>
    <row r="64" customFormat="false" ht="15" hidden="false" customHeight="false" outlineLevel="0" collapsed="false">
      <c r="A64" s="40" t="str">
        <f aca="false">IF(B64="","",ROW()-6)</f>
        <v/>
      </c>
      <c r="B64" s="74"/>
      <c r="C64" s="75"/>
      <c r="D64" s="76"/>
      <c r="E64" s="77"/>
      <c r="F64" s="78"/>
      <c r="G64" s="75"/>
      <c r="H64" s="78"/>
      <c r="I64" s="46" t="str">
        <f aca="false">IF(B64="","",SUMIFS(Bills!$E$8:$E$507,Bills!$D$8:$D$507,B64))</f>
        <v/>
      </c>
      <c r="J64" s="46" t="str">
        <f aca="false">IF(B64="","",SUMIFS(Payments!$D$8:$D$507,Payments!$C$8:$C$507,B64))</f>
        <v/>
      </c>
      <c r="K64" s="47" t="str">
        <f aca="false">IF(B64="","",SUMIFS(Bills!$K$8:$K$507,Bills!$D$8:$D$507,B64)-MAX(0,R64-SUMIFS(Bills!$P$8:$P$507,Bills!$D$8:$D$507,B64)))</f>
        <v/>
      </c>
      <c r="L64" s="48" t="str">
        <f aca="false">IF(B64="","",SUMIFS(Bills!$K$8:$K$507,Bills!$D$8:$D$507,B64,Bills!$L$8:$L$507,"&gt;0"))</f>
        <v/>
      </c>
      <c r="M64" s="48" t="str">
        <f aca="false">IF(B64="","",SUMIFS(Bills!$K$8:$K$507,Bills!$D$8:$D$507,B64,Bills!$V$8:$V$507,"&lt;="&amp;Setup!$C$9))</f>
        <v/>
      </c>
      <c r="N64" s="49" t="str">
        <f aca="false">IF(B64="","",IF(K64&lt;0,"Advance paid",IF(N(M64)&gt;0,"⚠ MSME deadline",IF(N(L64)&gt;0,"Overdue",IF(K64&gt;0,"Within credit","✔ Clear")))))</f>
        <v/>
      </c>
      <c r="O64" s="50" t="str">
        <f aca="false">IF(B64="","",IF(COUNTIF($B$7:$B$106,B64)&gt;1,"⚠ Name used twice",IF(AND(OR(F64="Micro",F64="Small"),G64=""),"Add Udyam no.","✔")))</f>
        <v/>
      </c>
      <c r="Q64" s="9" t="n">
        <f aca="false">IF(B64="",0,IF(E64="",Setup!$C$7,E64))</f>
        <v>0</v>
      </c>
      <c r="R64" s="9" t="n">
        <f aca="false">IF(B64="",0,SUMIFS(Payments!$J$8:$J$507,Payments!$C$8:$C$507,B64))</f>
        <v>0</v>
      </c>
      <c r="S64" s="9" t="str">
        <f aca="false">IF(OR(F64="Micro",F64="Small"),IF(H64="Yes",MIN(45,Q64),15),"")</f>
        <v/>
      </c>
    </row>
    <row r="65" customFormat="false" ht="15" hidden="false" customHeight="false" outlineLevel="0" collapsed="false">
      <c r="A65" s="40" t="str">
        <f aca="false">IF(B65="","",ROW()-6)</f>
        <v/>
      </c>
      <c r="B65" s="74"/>
      <c r="C65" s="75"/>
      <c r="D65" s="76"/>
      <c r="E65" s="77"/>
      <c r="F65" s="78"/>
      <c r="G65" s="75"/>
      <c r="H65" s="78"/>
      <c r="I65" s="46" t="str">
        <f aca="false">IF(B65="","",SUMIFS(Bills!$E$8:$E$507,Bills!$D$8:$D$507,B65))</f>
        <v/>
      </c>
      <c r="J65" s="46" t="str">
        <f aca="false">IF(B65="","",SUMIFS(Payments!$D$8:$D$507,Payments!$C$8:$C$507,B65))</f>
        <v/>
      </c>
      <c r="K65" s="47" t="str">
        <f aca="false">IF(B65="","",SUMIFS(Bills!$K$8:$K$507,Bills!$D$8:$D$507,B65)-MAX(0,R65-SUMIFS(Bills!$P$8:$P$507,Bills!$D$8:$D$507,B65)))</f>
        <v/>
      </c>
      <c r="L65" s="48" t="str">
        <f aca="false">IF(B65="","",SUMIFS(Bills!$K$8:$K$507,Bills!$D$8:$D$507,B65,Bills!$L$8:$L$507,"&gt;0"))</f>
        <v/>
      </c>
      <c r="M65" s="48" t="str">
        <f aca="false">IF(B65="","",SUMIFS(Bills!$K$8:$K$507,Bills!$D$8:$D$507,B65,Bills!$V$8:$V$507,"&lt;="&amp;Setup!$C$9))</f>
        <v/>
      </c>
      <c r="N65" s="49" t="str">
        <f aca="false">IF(B65="","",IF(K65&lt;0,"Advance paid",IF(N(M65)&gt;0,"⚠ MSME deadline",IF(N(L65)&gt;0,"Overdue",IF(K65&gt;0,"Within credit","✔ Clear")))))</f>
        <v/>
      </c>
      <c r="O65" s="50" t="str">
        <f aca="false">IF(B65="","",IF(COUNTIF($B$7:$B$106,B65)&gt;1,"⚠ Name used twice",IF(AND(OR(F65="Micro",F65="Small"),G65=""),"Add Udyam no.","✔")))</f>
        <v/>
      </c>
      <c r="Q65" s="9" t="n">
        <f aca="false">IF(B65="",0,IF(E65="",Setup!$C$7,E65))</f>
        <v>0</v>
      </c>
      <c r="R65" s="9" t="n">
        <f aca="false">IF(B65="",0,SUMIFS(Payments!$J$8:$J$507,Payments!$C$8:$C$507,B65))</f>
        <v>0</v>
      </c>
      <c r="S65" s="9" t="str">
        <f aca="false">IF(OR(F65="Micro",F65="Small"),IF(H65="Yes",MIN(45,Q65),15),"")</f>
        <v/>
      </c>
    </row>
    <row r="66" customFormat="false" ht="15" hidden="false" customHeight="false" outlineLevel="0" collapsed="false">
      <c r="A66" s="40" t="str">
        <f aca="false">IF(B66="","",ROW()-6)</f>
        <v/>
      </c>
      <c r="B66" s="74"/>
      <c r="C66" s="75"/>
      <c r="D66" s="76"/>
      <c r="E66" s="77"/>
      <c r="F66" s="78"/>
      <c r="G66" s="75"/>
      <c r="H66" s="78"/>
      <c r="I66" s="46" t="str">
        <f aca="false">IF(B66="","",SUMIFS(Bills!$E$8:$E$507,Bills!$D$8:$D$507,B66))</f>
        <v/>
      </c>
      <c r="J66" s="46" t="str">
        <f aca="false">IF(B66="","",SUMIFS(Payments!$D$8:$D$507,Payments!$C$8:$C$507,B66))</f>
        <v/>
      </c>
      <c r="K66" s="47" t="str">
        <f aca="false">IF(B66="","",SUMIFS(Bills!$K$8:$K$507,Bills!$D$8:$D$507,B66)-MAX(0,R66-SUMIFS(Bills!$P$8:$P$507,Bills!$D$8:$D$507,B66)))</f>
        <v/>
      </c>
      <c r="L66" s="48" t="str">
        <f aca="false">IF(B66="","",SUMIFS(Bills!$K$8:$K$507,Bills!$D$8:$D$507,B66,Bills!$L$8:$L$507,"&gt;0"))</f>
        <v/>
      </c>
      <c r="M66" s="48" t="str">
        <f aca="false">IF(B66="","",SUMIFS(Bills!$K$8:$K$507,Bills!$D$8:$D$507,B66,Bills!$V$8:$V$507,"&lt;="&amp;Setup!$C$9))</f>
        <v/>
      </c>
      <c r="N66" s="49" t="str">
        <f aca="false">IF(B66="","",IF(K66&lt;0,"Advance paid",IF(N(M66)&gt;0,"⚠ MSME deadline",IF(N(L66)&gt;0,"Overdue",IF(K66&gt;0,"Within credit","✔ Clear")))))</f>
        <v/>
      </c>
      <c r="O66" s="50" t="str">
        <f aca="false">IF(B66="","",IF(COUNTIF($B$7:$B$106,B66)&gt;1,"⚠ Name used twice",IF(AND(OR(F66="Micro",F66="Small"),G66=""),"Add Udyam no.","✔")))</f>
        <v/>
      </c>
      <c r="Q66" s="9" t="n">
        <f aca="false">IF(B66="",0,IF(E66="",Setup!$C$7,E66))</f>
        <v>0</v>
      </c>
      <c r="R66" s="9" t="n">
        <f aca="false">IF(B66="",0,SUMIFS(Payments!$J$8:$J$507,Payments!$C$8:$C$507,B66))</f>
        <v>0</v>
      </c>
      <c r="S66" s="9" t="str">
        <f aca="false">IF(OR(F66="Micro",F66="Small"),IF(H66="Yes",MIN(45,Q66),15),"")</f>
        <v/>
      </c>
    </row>
    <row r="67" customFormat="false" ht="15" hidden="false" customHeight="false" outlineLevel="0" collapsed="false">
      <c r="A67" s="40" t="str">
        <f aca="false">IF(B67="","",ROW()-6)</f>
        <v/>
      </c>
      <c r="B67" s="74"/>
      <c r="C67" s="75"/>
      <c r="D67" s="76"/>
      <c r="E67" s="77"/>
      <c r="F67" s="78"/>
      <c r="G67" s="75"/>
      <c r="H67" s="78"/>
      <c r="I67" s="46" t="str">
        <f aca="false">IF(B67="","",SUMIFS(Bills!$E$8:$E$507,Bills!$D$8:$D$507,B67))</f>
        <v/>
      </c>
      <c r="J67" s="46" t="str">
        <f aca="false">IF(B67="","",SUMIFS(Payments!$D$8:$D$507,Payments!$C$8:$C$507,B67))</f>
        <v/>
      </c>
      <c r="K67" s="47" t="str">
        <f aca="false">IF(B67="","",SUMIFS(Bills!$K$8:$K$507,Bills!$D$8:$D$507,B67)-MAX(0,R67-SUMIFS(Bills!$P$8:$P$507,Bills!$D$8:$D$507,B67)))</f>
        <v/>
      </c>
      <c r="L67" s="48" t="str">
        <f aca="false">IF(B67="","",SUMIFS(Bills!$K$8:$K$507,Bills!$D$8:$D$507,B67,Bills!$L$8:$L$507,"&gt;0"))</f>
        <v/>
      </c>
      <c r="M67" s="48" t="str">
        <f aca="false">IF(B67="","",SUMIFS(Bills!$K$8:$K$507,Bills!$D$8:$D$507,B67,Bills!$V$8:$V$507,"&lt;="&amp;Setup!$C$9))</f>
        <v/>
      </c>
      <c r="N67" s="49" t="str">
        <f aca="false">IF(B67="","",IF(K67&lt;0,"Advance paid",IF(N(M67)&gt;0,"⚠ MSME deadline",IF(N(L67)&gt;0,"Overdue",IF(K67&gt;0,"Within credit","✔ Clear")))))</f>
        <v/>
      </c>
      <c r="O67" s="50" t="str">
        <f aca="false">IF(B67="","",IF(COUNTIF($B$7:$B$106,B67)&gt;1,"⚠ Name used twice",IF(AND(OR(F67="Micro",F67="Small"),G67=""),"Add Udyam no.","✔")))</f>
        <v/>
      </c>
      <c r="Q67" s="9" t="n">
        <f aca="false">IF(B67="",0,IF(E67="",Setup!$C$7,E67))</f>
        <v>0</v>
      </c>
      <c r="R67" s="9" t="n">
        <f aca="false">IF(B67="",0,SUMIFS(Payments!$J$8:$J$507,Payments!$C$8:$C$507,B67))</f>
        <v>0</v>
      </c>
      <c r="S67" s="9" t="str">
        <f aca="false">IF(OR(F67="Micro",F67="Small"),IF(H67="Yes",MIN(45,Q67),15),"")</f>
        <v/>
      </c>
    </row>
    <row r="68" customFormat="false" ht="15" hidden="false" customHeight="false" outlineLevel="0" collapsed="false">
      <c r="A68" s="40" t="str">
        <f aca="false">IF(B68="","",ROW()-6)</f>
        <v/>
      </c>
      <c r="B68" s="74"/>
      <c r="C68" s="75"/>
      <c r="D68" s="76"/>
      <c r="E68" s="77"/>
      <c r="F68" s="78"/>
      <c r="G68" s="75"/>
      <c r="H68" s="78"/>
      <c r="I68" s="46" t="str">
        <f aca="false">IF(B68="","",SUMIFS(Bills!$E$8:$E$507,Bills!$D$8:$D$507,B68))</f>
        <v/>
      </c>
      <c r="J68" s="46" t="str">
        <f aca="false">IF(B68="","",SUMIFS(Payments!$D$8:$D$507,Payments!$C$8:$C$507,B68))</f>
        <v/>
      </c>
      <c r="K68" s="47" t="str">
        <f aca="false">IF(B68="","",SUMIFS(Bills!$K$8:$K$507,Bills!$D$8:$D$507,B68)-MAX(0,R68-SUMIFS(Bills!$P$8:$P$507,Bills!$D$8:$D$507,B68)))</f>
        <v/>
      </c>
      <c r="L68" s="48" t="str">
        <f aca="false">IF(B68="","",SUMIFS(Bills!$K$8:$K$507,Bills!$D$8:$D$507,B68,Bills!$L$8:$L$507,"&gt;0"))</f>
        <v/>
      </c>
      <c r="M68" s="48" t="str">
        <f aca="false">IF(B68="","",SUMIFS(Bills!$K$8:$K$507,Bills!$D$8:$D$507,B68,Bills!$V$8:$V$507,"&lt;="&amp;Setup!$C$9))</f>
        <v/>
      </c>
      <c r="N68" s="49" t="str">
        <f aca="false">IF(B68="","",IF(K68&lt;0,"Advance paid",IF(N(M68)&gt;0,"⚠ MSME deadline",IF(N(L68)&gt;0,"Overdue",IF(K68&gt;0,"Within credit","✔ Clear")))))</f>
        <v/>
      </c>
      <c r="O68" s="50" t="str">
        <f aca="false">IF(B68="","",IF(COUNTIF($B$7:$B$106,B68)&gt;1,"⚠ Name used twice",IF(AND(OR(F68="Micro",F68="Small"),G68=""),"Add Udyam no.","✔")))</f>
        <v/>
      </c>
      <c r="Q68" s="9" t="n">
        <f aca="false">IF(B68="",0,IF(E68="",Setup!$C$7,E68))</f>
        <v>0</v>
      </c>
      <c r="R68" s="9" t="n">
        <f aca="false">IF(B68="",0,SUMIFS(Payments!$J$8:$J$507,Payments!$C$8:$C$507,B68))</f>
        <v>0</v>
      </c>
      <c r="S68" s="9" t="str">
        <f aca="false">IF(OR(F68="Micro",F68="Small"),IF(H68="Yes",MIN(45,Q68),15),"")</f>
        <v/>
      </c>
    </row>
    <row r="69" customFormat="false" ht="15" hidden="false" customHeight="false" outlineLevel="0" collapsed="false">
      <c r="A69" s="40" t="str">
        <f aca="false">IF(B69="","",ROW()-6)</f>
        <v/>
      </c>
      <c r="B69" s="74"/>
      <c r="C69" s="75"/>
      <c r="D69" s="76"/>
      <c r="E69" s="77"/>
      <c r="F69" s="78"/>
      <c r="G69" s="75"/>
      <c r="H69" s="78"/>
      <c r="I69" s="46" t="str">
        <f aca="false">IF(B69="","",SUMIFS(Bills!$E$8:$E$507,Bills!$D$8:$D$507,B69))</f>
        <v/>
      </c>
      <c r="J69" s="46" t="str">
        <f aca="false">IF(B69="","",SUMIFS(Payments!$D$8:$D$507,Payments!$C$8:$C$507,B69))</f>
        <v/>
      </c>
      <c r="K69" s="47" t="str">
        <f aca="false">IF(B69="","",SUMIFS(Bills!$K$8:$K$507,Bills!$D$8:$D$507,B69)-MAX(0,R69-SUMIFS(Bills!$P$8:$P$507,Bills!$D$8:$D$507,B69)))</f>
        <v/>
      </c>
      <c r="L69" s="48" t="str">
        <f aca="false">IF(B69="","",SUMIFS(Bills!$K$8:$K$507,Bills!$D$8:$D$507,B69,Bills!$L$8:$L$507,"&gt;0"))</f>
        <v/>
      </c>
      <c r="M69" s="48" t="str">
        <f aca="false">IF(B69="","",SUMIFS(Bills!$K$8:$K$507,Bills!$D$8:$D$507,B69,Bills!$V$8:$V$507,"&lt;="&amp;Setup!$C$9))</f>
        <v/>
      </c>
      <c r="N69" s="49" t="str">
        <f aca="false">IF(B69="","",IF(K69&lt;0,"Advance paid",IF(N(M69)&gt;0,"⚠ MSME deadline",IF(N(L69)&gt;0,"Overdue",IF(K69&gt;0,"Within credit","✔ Clear")))))</f>
        <v/>
      </c>
      <c r="O69" s="50" t="str">
        <f aca="false">IF(B69="","",IF(COUNTIF($B$7:$B$106,B69)&gt;1,"⚠ Name used twice",IF(AND(OR(F69="Micro",F69="Small"),G69=""),"Add Udyam no.","✔")))</f>
        <v/>
      </c>
      <c r="Q69" s="9" t="n">
        <f aca="false">IF(B69="",0,IF(E69="",Setup!$C$7,E69))</f>
        <v>0</v>
      </c>
      <c r="R69" s="9" t="n">
        <f aca="false">IF(B69="",0,SUMIFS(Payments!$J$8:$J$507,Payments!$C$8:$C$507,B69))</f>
        <v>0</v>
      </c>
      <c r="S69" s="9" t="str">
        <f aca="false">IF(OR(F69="Micro",F69="Small"),IF(H69="Yes",MIN(45,Q69),15),"")</f>
        <v/>
      </c>
    </row>
    <row r="70" customFormat="false" ht="15" hidden="false" customHeight="false" outlineLevel="0" collapsed="false">
      <c r="A70" s="40" t="str">
        <f aca="false">IF(B70="","",ROW()-6)</f>
        <v/>
      </c>
      <c r="B70" s="74"/>
      <c r="C70" s="75"/>
      <c r="D70" s="76"/>
      <c r="E70" s="77"/>
      <c r="F70" s="78"/>
      <c r="G70" s="75"/>
      <c r="H70" s="78"/>
      <c r="I70" s="46" t="str">
        <f aca="false">IF(B70="","",SUMIFS(Bills!$E$8:$E$507,Bills!$D$8:$D$507,B70))</f>
        <v/>
      </c>
      <c r="J70" s="46" t="str">
        <f aca="false">IF(B70="","",SUMIFS(Payments!$D$8:$D$507,Payments!$C$8:$C$507,B70))</f>
        <v/>
      </c>
      <c r="K70" s="47" t="str">
        <f aca="false">IF(B70="","",SUMIFS(Bills!$K$8:$K$507,Bills!$D$8:$D$507,B70)-MAX(0,R70-SUMIFS(Bills!$P$8:$P$507,Bills!$D$8:$D$507,B70)))</f>
        <v/>
      </c>
      <c r="L70" s="48" t="str">
        <f aca="false">IF(B70="","",SUMIFS(Bills!$K$8:$K$507,Bills!$D$8:$D$507,B70,Bills!$L$8:$L$507,"&gt;0"))</f>
        <v/>
      </c>
      <c r="M70" s="48" t="str">
        <f aca="false">IF(B70="","",SUMIFS(Bills!$K$8:$K$507,Bills!$D$8:$D$507,B70,Bills!$V$8:$V$507,"&lt;="&amp;Setup!$C$9))</f>
        <v/>
      </c>
      <c r="N70" s="49" t="str">
        <f aca="false">IF(B70="","",IF(K70&lt;0,"Advance paid",IF(N(M70)&gt;0,"⚠ MSME deadline",IF(N(L70)&gt;0,"Overdue",IF(K70&gt;0,"Within credit","✔ Clear")))))</f>
        <v/>
      </c>
      <c r="O70" s="50" t="str">
        <f aca="false">IF(B70="","",IF(COUNTIF($B$7:$B$106,B70)&gt;1,"⚠ Name used twice",IF(AND(OR(F70="Micro",F70="Small"),G70=""),"Add Udyam no.","✔")))</f>
        <v/>
      </c>
      <c r="Q70" s="9" t="n">
        <f aca="false">IF(B70="",0,IF(E70="",Setup!$C$7,E70))</f>
        <v>0</v>
      </c>
      <c r="R70" s="9" t="n">
        <f aca="false">IF(B70="",0,SUMIFS(Payments!$J$8:$J$507,Payments!$C$8:$C$507,B70))</f>
        <v>0</v>
      </c>
      <c r="S70" s="9" t="str">
        <f aca="false">IF(OR(F70="Micro",F70="Small"),IF(H70="Yes",MIN(45,Q70),15),"")</f>
        <v/>
      </c>
    </row>
    <row r="71" customFormat="false" ht="15" hidden="false" customHeight="false" outlineLevel="0" collapsed="false">
      <c r="A71" s="40" t="str">
        <f aca="false">IF(B71="","",ROW()-6)</f>
        <v/>
      </c>
      <c r="B71" s="74"/>
      <c r="C71" s="75"/>
      <c r="D71" s="76"/>
      <c r="E71" s="77"/>
      <c r="F71" s="78"/>
      <c r="G71" s="75"/>
      <c r="H71" s="78"/>
      <c r="I71" s="46" t="str">
        <f aca="false">IF(B71="","",SUMIFS(Bills!$E$8:$E$507,Bills!$D$8:$D$507,B71))</f>
        <v/>
      </c>
      <c r="J71" s="46" t="str">
        <f aca="false">IF(B71="","",SUMIFS(Payments!$D$8:$D$507,Payments!$C$8:$C$507,B71))</f>
        <v/>
      </c>
      <c r="K71" s="47" t="str">
        <f aca="false">IF(B71="","",SUMIFS(Bills!$K$8:$K$507,Bills!$D$8:$D$507,B71)-MAX(0,R71-SUMIFS(Bills!$P$8:$P$507,Bills!$D$8:$D$507,B71)))</f>
        <v/>
      </c>
      <c r="L71" s="48" t="str">
        <f aca="false">IF(B71="","",SUMIFS(Bills!$K$8:$K$507,Bills!$D$8:$D$507,B71,Bills!$L$8:$L$507,"&gt;0"))</f>
        <v/>
      </c>
      <c r="M71" s="48" t="str">
        <f aca="false">IF(B71="","",SUMIFS(Bills!$K$8:$K$507,Bills!$D$8:$D$507,B71,Bills!$V$8:$V$507,"&lt;="&amp;Setup!$C$9))</f>
        <v/>
      </c>
      <c r="N71" s="49" t="str">
        <f aca="false">IF(B71="","",IF(K71&lt;0,"Advance paid",IF(N(M71)&gt;0,"⚠ MSME deadline",IF(N(L71)&gt;0,"Overdue",IF(K71&gt;0,"Within credit","✔ Clear")))))</f>
        <v/>
      </c>
      <c r="O71" s="50" t="str">
        <f aca="false">IF(B71="","",IF(COUNTIF($B$7:$B$106,B71)&gt;1,"⚠ Name used twice",IF(AND(OR(F71="Micro",F71="Small"),G71=""),"Add Udyam no.","✔")))</f>
        <v/>
      </c>
      <c r="Q71" s="9" t="n">
        <f aca="false">IF(B71="",0,IF(E71="",Setup!$C$7,E71))</f>
        <v>0</v>
      </c>
      <c r="R71" s="9" t="n">
        <f aca="false">IF(B71="",0,SUMIFS(Payments!$J$8:$J$507,Payments!$C$8:$C$507,B71))</f>
        <v>0</v>
      </c>
      <c r="S71" s="9" t="str">
        <f aca="false">IF(OR(F71="Micro",F71="Small"),IF(H71="Yes",MIN(45,Q71),15),"")</f>
        <v/>
      </c>
    </row>
    <row r="72" customFormat="false" ht="15" hidden="false" customHeight="false" outlineLevel="0" collapsed="false">
      <c r="A72" s="40" t="str">
        <f aca="false">IF(B72="","",ROW()-6)</f>
        <v/>
      </c>
      <c r="B72" s="74"/>
      <c r="C72" s="75"/>
      <c r="D72" s="76"/>
      <c r="E72" s="77"/>
      <c r="F72" s="78"/>
      <c r="G72" s="75"/>
      <c r="H72" s="78"/>
      <c r="I72" s="46" t="str">
        <f aca="false">IF(B72="","",SUMIFS(Bills!$E$8:$E$507,Bills!$D$8:$D$507,B72))</f>
        <v/>
      </c>
      <c r="J72" s="46" t="str">
        <f aca="false">IF(B72="","",SUMIFS(Payments!$D$8:$D$507,Payments!$C$8:$C$507,B72))</f>
        <v/>
      </c>
      <c r="K72" s="47" t="str">
        <f aca="false">IF(B72="","",SUMIFS(Bills!$K$8:$K$507,Bills!$D$8:$D$507,B72)-MAX(0,R72-SUMIFS(Bills!$P$8:$P$507,Bills!$D$8:$D$507,B72)))</f>
        <v/>
      </c>
      <c r="L72" s="48" t="str">
        <f aca="false">IF(B72="","",SUMIFS(Bills!$K$8:$K$507,Bills!$D$8:$D$507,B72,Bills!$L$8:$L$507,"&gt;0"))</f>
        <v/>
      </c>
      <c r="M72" s="48" t="str">
        <f aca="false">IF(B72="","",SUMIFS(Bills!$K$8:$K$507,Bills!$D$8:$D$507,B72,Bills!$V$8:$V$507,"&lt;="&amp;Setup!$C$9))</f>
        <v/>
      </c>
      <c r="N72" s="49" t="str">
        <f aca="false">IF(B72="","",IF(K72&lt;0,"Advance paid",IF(N(M72)&gt;0,"⚠ MSME deadline",IF(N(L72)&gt;0,"Overdue",IF(K72&gt;0,"Within credit","✔ Clear")))))</f>
        <v/>
      </c>
      <c r="O72" s="50" t="str">
        <f aca="false">IF(B72="","",IF(COUNTIF($B$7:$B$106,B72)&gt;1,"⚠ Name used twice",IF(AND(OR(F72="Micro",F72="Small"),G72=""),"Add Udyam no.","✔")))</f>
        <v/>
      </c>
      <c r="Q72" s="9" t="n">
        <f aca="false">IF(B72="",0,IF(E72="",Setup!$C$7,E72))</f>
        <v>0</v>
      </c>
      <c r="R72" s="9" t="n">
        <f aca="false">IF(B72="",0,SUMIFS(Payments!$J$8:$J$507,Payments!$C$8:$C$507,B72))</f>
        <v>0</v>
      </c>
      <c r="S72" s="9" t="str">
        <f aca="false">IF(OR(F72="Micro",F72="Small"),IF(H72="Yes",MIN(45,Q72),15),"")</f>
        <v/>
      </c>
    </row>
    <row r="73" customFormat="false" ht="15" hidden="false" customHeight="false" outlineLevel="0" collapsed="false">
      <c r="A73" s="40" t="str">
        <f aca="false">IF(B73="","",ROW()-6)</f>
        <v/>
      </c>
      <c r="B73" s="74"/>
      <c r="C73" s="75"/>
      <c r="D73" s="76"/>
      <c r="E73" s="77"/>
      <c r="F73" s="78"/>
      <c r="G73" s="75"/>
      <c r="H73" s="78"/>
      <c r="I73" s="46" t="str">
        <f aca="false">IF(B73="","",SUMIFS(Bills!$E$8:$E$507,Bills!$D$8:$D$507,B73))</f>
        <v/>
      </c>
      <c r="J73" s="46" t="str">
        <f aca="false">IF(B73="","",SUMIFS(Payments!$D$8:$D$507,Payments!$C$8:$C$507,B73))</f>
        <v/>
      </c>
      <c r="K73" s="47" t="str">
        <f aca="false">IF(B73="","",SUMIFS(Bills!$K$8:$K$507,Bills!$D$8:$D$507,B73)-MAX(0,R73-SUMIFS(Bills!$P$8:$P$507,Bills!$D$8:$D$507,B73)))</f>
        <v/>
      </c>
      <c r="L73" s="48" t="str">
        <f aca="false">IF(B73="","",SUMIFS(Bills!$K$8:$K$507,Bills!$D$8:$D$507,B73,Bills!$L$8:$L$507,"&gt;0"))</f>
        <v/>
      </c>
      <c r="M73" s="48" t="str">
        <f aca="false">IF(B73="","",SUMIFS(Bills!$K$8:$K$507,Bills!$D$8:$D$507,B73,Bills!$V$8:$V$507,"&lt;="&amp;Setup!$C$9))</f>
        <v/>
      </c>
      <c r="N73" s="49" t="str">
        <f aca="false">IF(B73="","",IF(K73&lt;0,"Advance paid",IF(N(M73)&gt;0,"⚠ MSME deadline",IF(N(L73)&gt;0,"Overdue",IF(K73&gt;0,"Within credit","✔ Clear")))))</f>
        <v/>
      </c>
      <c r="O73" s="50" t="str">
        <f aca="false">IF(B73="","",IF(COUNTIF($B$7:$B$106,B73)&gt;1,"⚠ Name used twice",IF(AND(OR(F73="Micro",F73="Small"),G73=""),"Add Udyam no.","✔")))</f>
        <v/>
      </c>
      <c r="Q73" s="9" t="n">
        <f aca="false">IF(B73="",0,IF(E73="",Setup!$C$7,E73))</f>
        <v>0</v>
      </c>
      <c r="R73" s="9" t="n">
        <f aca="false">IF(B73="",0,SUMIFS(Payments!$J$8:$J$507,Payments!$C$8:$C$507,B73))</f>
        <v>0</v>
      </c>
      <c r="S73" s="9" t="str">
        <f aca="false">IF(OR(F73="Micro",F73="Small"),IF(H73="Yes",MIN(45,Q73),15),"")</f>
        <v/>
      </c>
    </row>
    <row r="74" customFormat="false" ht="15" hidden="false" customHeight="false" outlineLevel="0" collapsed="false">
      <c r="A74" s="40" t="str">
        <f aca="false">IF(B74="","",ROW()-6)</f>
        <v/>
      </c>
      <c r="B74" s="74"/>
      <c r="C74" s="75"/>
      <c r="D74" s="76"/>
      <c r="E74" s="77"/>
      <c r="F74" s="78"/>
      <c r="G74" s="75"/>
      <c r="H74" s="78"/>
      <c r="I74" s="46" t="str">
        <f aca="false">IF(B74="","",SUMIFS(Bills!$E$8:$E$507,Bills!$D$8:$D$507,B74))</f>
        <v/>
      </c>
      <c r="J74" s="46" t="str">
        <f aca="false">IF(B74="","",SUMIFS(Payments!$D$8:$D$507,Payments!$C$8:$C$507,B74))</f>
        <v/>
      </c>
      <c r="K74" s="47" t="str">
        <f aca="false">IF(B74="","",SUMIFS(Bills!$K$8:$K$507,Bills!$D$8:$D$507,B74)-MAX(0,R74-SUMIFS(Bills!$P$8:$P$507,Bills!$D$8:$D$507,B74)))</f>
        <v/>
      </c>
      <c r="L74" s="48" t="str">
        <f aca="false">IF(B74="","",SUMIFS(Bills!$K$8:$K$507,Bills!$D$8:$D$507,B74,Bills!$L$8:$L$507,"&gt;0"))</f>
        <v/>
      </c>
      <c r="M74" s="48" t="str">
        <f aca="false">IF(B74="","",SUMIFS(Bills!$K$8:$K$507,Bills!$D$8:$D$507,B74,Bills!$V$8:$V$507,"&lt;="&amp;Setup!$C$9))</f>
        <v/>
      </c>
      <c r="N74" s="49" t="str">
        <f aca="false">IF(B74="","",IF(K74&lt;0,"Advance paid",IF(N(M74)&gt;0,"⚠ MSME deadline",IF(N(L74)&gt;0,"Overdue",IF(K74&gt;0,"Within credit","✔ Clear")))))</f>
        <v/>
      </c>
      <c r="O74" s="50" t="str">
        <f aca="false">IF(B74="","",IF(COUNTIF($B$7:$B$106,B74)&gt;1,"⚠ Name used twice",IF(AND(OR(F74="Micro",F74="Small"),G74=""),"Add Udyam no.","✔")))</f>
        <v/>
      </c>
      <c r="Q74" s="9" t="n">
        <f aca="false">IF(B74="",0,IF(E74="",Setup!$C$7,E74))</f>
        <v>0</v>
      </c>
      <c r="R74" s="9" t="n">
        <f aca="false">IF(B74="",0,SUMIFS(Payments!$J$8:$J$507,Payments!$C$8:$C$507,B74))</f>
        <v>0</v>
      </c>
      <c r="S74" s="9" t="str">
        <f aca="false">IF(OR(F74="Micro",F74="Small"),IF(H74="Yes",MIN(45,Q74),15),"")</f>
        <v/>
      </c>
    </row>
    <row r="75" customFormat="false" ht="15" hidden="false" customHeight="false" outlineLevel="0" collapsed="false">
      <c r="A75" s="40" t="str">
        <f aca="false">IF(B75="","",ROW()-6)</f>
        <v/>
      </c>
      <c r="B75" s="74"/>
      <c r="C75" s="75"/>
      <c r="D75" s="76"/>
      <c r="E75" s="77"/>
      <c r="F75" s="78"/>
      <c r="G75" s="75"/>
      <c r="H75" s="78"/>
      <c r="I75" s="46" t="str">
        <f aca="false">IF(B75="","",SUMIFS(Bills!$E$8:$E$507,Bills!$D$8:$D$507,B75))</f>
        <v/>
      </c>
      <c r="J75" s="46" t="str">
        <f aca="false">IF(B75="","",SUMIFS(Payments!$D$8:$D$507,Payments!$C$8:$C$507,B75))</f>
        <v/>
      </c>
      <c r="K75" s="47" t="str">
        <f aca="false">IF(B75="","",SUMIFS(Bills!$K$8:$K$507,Bills!$D$8:$D$507,B75)-MAX(0,R75-SUMIFS(Bills!$P$8:$P$507,Bills!$D$8:$D$507,B75)))</f>
        <v/>
      </c>
      <c r="L75" s="48" t="str">
        <f aca="false">IF(B75="","",SUMIFS(Bills!$K$8:$K$507,Bills!$D$8:$D$507,B75,Bills!$L$8:$L$507,"&gt;0"))</f>
        <v/>
      </c>
      <c r="M75" s="48" t="str">
        <f aca="false">IF(B75="","",SUMIFS(Bills!$K$8:$K$507,Bills!$D$8:$D$507,B75,Bills!$V$8:$V$507,"&lt;="&amp;Setup!$C$9))</f>
        <v/>
      </c>
      <c r="N75" s="49" t="str">
        <f aca="false">IF(B75="","",IF(K75&lt;0,"Advance paid",IF(N(M75)&gt;0,"⚠ MSME deadline",IF(N(L75)&gt;0,"Overdue",IF(K75&gt;0,"Within credit","✔ Clear")))))</f>
        <v/>
      </c>
      <c r="O75" s="50" t="str">
        <f aca="false">IF(B75="","",IF(COUNTIF($B$7:$B$106,B75)&gt;1,"⚠ Name used twice",IF(AND(OR(F75="Micro",F75="Small"),G75=""),"Add Udyam no.","✔")))</f>
        <v/>
      </c>
      <c r="Q75" s="9" t="n">
        <f aca="false">IF(B75="",0,IF(E75="",Setup!$C$7,E75))</f>
        <v>0</v>
      </c>
      <c r="R75" s="9" t="n">
        <f aca="false">IF(B75="",0,SUMIFS(Payments!$J$8:$J$507,Payments!$C$8:$C$507,B75))</f>
        <v>0</v>
      </c>
      <c r="S75" s="9" t="str">
        <f aca="false">IF(OR(F75="Micro",F75="Small"),IF(H75="Yes",MIN(45,Q75),15),"")</f>
        <v/>
      </c>
    </row>
    <row r="76" customFormat="false" ht="15" hidden="false" customHeight="false" outlineLevel="0" collapsed="false">
      <c r="A76" s="40" t="str">
        <f aca="false">IF(B76="","",ROW()-6)</f>
        <v/>
      </c>
      <c r="B76" s="74"/>
      <c r="C76" s="75"/>
      <c r="D76" s="76"/>
      <c r="E76" s="77"/>
      <c r="F76" s="78"/>
      <c r="G76" s="75"/>
      <c r="H76" s="78"/>
      <c r="I76" s="46" t="str">
        <f aca="false">IF(B76="","",SUMIFS(Bills!$E$8:$E$507,Bills!$D$8:$D$507,B76))</f>
        <v/>
      </c>
      <c r="J76" s="46" t="str">
        <f aca="false">IF(B76="","",SUMIFS(Payments!$D$8:$D$507,Payments!$C$8:$C$507,B76))</f>
        <v/>
      </c>
      <c r="K76" s="47" t="str">
        <f aca="false">IF(B76="","",SUMIFS(Bills!$K$8:$K$507,Bills!$D$8:$D$507,B76)-MAX(0,R76-SUMIFS(Bills!$P$8:$P$507,Bills!$D$8:$D$507,B76)))</f>
        <v/>
      </c>
      <c r="L76" s="48" t="str">
        <f aca="false">IF(B76="","",SUMIFS(Bills!$K$8:$K$507,Bills!$D$8:$D$507,B76,Bills!$L$8:$L$507,"&gt;0"))</f>
        <v/>
      </c>
      <c r="M76" s="48" t="str">
        <f aca="false">IF(B76="","",SUMIFS(Bills!$K$8:$K$507,Bills!$D$8:$D$507,B76,Bills!$V$8:$V$507,"&lt;="&amp;Setup!$C$9))</f>
        <v/>
      </c>
      <c r="N76" s="49" t="str">
        <f aca="false">IF(B76="","",IF(K76&lt;0,"Advance paid",IF(N(M76)&gt;0,"⚠ MSME deadline",IF(N(L76)&gt;0,"Overdue",IF(K76&gt;0,"Within credit","✔ Clear")))))</f>
        <v/>
      </c>
      <c r="O76" s="50" t="str">
        <f aca="false">IF(B76="","",IF(COUNTIF($B$7:$B$106,B76)&gt;1,"⚠ Name used twice",IF(AND(OR(F76="Micro",F76="Small"),G76=""),"Add Udyam no.","✔")))</f>
        <v/>
      </c>
      <c r="Q76" s="9" t="n">
        <f aca="false">IF(B76="",0,IF(E76="",Setup!$C$7,E76))</f>
        <v>0</v>
      </c>
      <c r="R76" s="9" t="n">
        <f aca="false">IF(B76="",0,SUMIFS(Payments!$J$8:$J$507,Payments!$C$8:$C$507,B76))</f>
        <v>0</v>
      </c>
      <c r="S76" s="9" t="str">
        <f aca="false">IF(OR(F76="Micro",F76="Small"),IF(H76="Yes",MIN(45,Q76),15),"")</f>
        <v/>
      </c>
    </row>
    <row r="77" customFormat="false" ht="15" hidden="false" customHeight="false" outlineLevel="0" collapsed="false">
      <c r="A77" s="40" t="str">
        <f aca="false">IF(B77="","",ROW()-6)</f>
        <v/>
      </c>
      <c r="B77" s="74"/>
      <c r="C77" s="75"/>
      <c r="D77" s="76"/>
      <c r="E77" s="77"/>
      <c r="F77" s="78"/>
      <c r="G77" s="75"/>
      <c r="H77" s="78"/>
      <c r="I77" s="46" t="str">
        <f aca="false">IF(B77="","",SUMIFS(Bills!$E$8:$E$507,Bills!$D$8:$D$507,B77))</f>
        <v/>
      </c>
      <c r="J77" s="46" t="str">
        <f aca="false">IF(B77="","",SUMIFS(Payments!$D$8:$D$507,Payments!$C$8:$C$507,B77))</f>
        <v/>
      </c>
      <c r="K77" s="47" t="str">
        <f aca="false">IF(B77="","",SUMIFS(Bills!$K$8:$K$507,Bills!$D$8:$D$507,B77)-MAX(0,R77-SUMIFS(Bills!$P$8:$P$507,Bills!$D$8:$D$507,B77)))</f>
        <v/>
      </c>
      <c r="L77" s="48" t="str">
        <f aca="false">IF(B77="","",SUMIFS(Bills!$K$8:$K$507,Bills!$D$8:$D$507,B77,Bills!$L$8:$L$507,"&gt;0"))</f>
        <v/>
      </c>
      <c r="M77" s="48" t="str">
        <f aca="false">IF(B77="","",SUMIFS(Bills!$K$8:$K$507,Bills!$D$8:$D$507,B77,Bills!$V$8:$V$507,"&lt;="&amp;Setup!$C$9))</f>
        <v/>
      </c>
      <c r="N77" s="49" t="str">
        <f aca="false">IF(B77="","",IF(K77&lt;0,"Advance paid",IF(N(M77)&gt;0,"⚠ MSME deadline",IF(N(L77)&gt;0,"Overdue",IF(K77&gt;0,"Within credit","✔ Clear")))))</f>
        <v/>
      </c>
      <c r="O77" s="50" t="str">
        <f aca="false">IF(B77="","",IF(COUNTIF($B$7:$B$106,B77)&gt;1,"⚠ Name used twice",IF(AND(OR(F77="Micro",F77="Small"),G77=""),"Add Udyam no.","✔")))</f>
        <v/>
      </c>
      <c r="Q77" s="9" t="n">
        <f aca="false">IF(B77="",0,IF(E77="",Setup!$C$7,E77))</f>
        <v>0</v>
      </c>
      <c r="R77" s="9" t="n">
        <f aca="false">IF(B77="",0,SUMIFS(Payments!$J$8:$J$507,Payments!$C$8:$C$507,B77))</f>
        <v>0</v>
      </c>
      <c r="S77" s="9" t="str">
        <f aca="false">IF(OR(F77="Micro",F77="Small"),IF(H77="Yes",MIN(45,Q77),15),"")</f>
        <v/>
      </c>
    </row>
    <row r="78" customFormat="false" ht="15" hidden="false" customHeight="false" outlineLevel="0" collapsed="false">
      <c r="A78" s="40" t="str">
        <f aca="false">IF(B78="","",ROW()-6)</f>
        <v/>
      </c>
      <c r="B78" s="74"/>
      <c r="C78" s="75"/>
      <c r="D78" s="76"/>
      <c r="E78" s="77"/>
      <c r="F78" s="78"/>
      <c r="G78" s="75"/>
      <c r="H78" s="78"/>
      <c r="I78" s="46" t="str">
        <f aca="false">IF(B78="","",SUMIFS(Bills!$E$8:$E$507,Bills!$D$8:$D$507,B78))</f>
        <v/>
      </c>
      <c r="J78" s="46" t="str">
        <f aca="false">IF(B78="","",SUMIFS(Payments!$D$8:$D$507,Payments!$C$8:$C$507,B78))</f>
        <v/>
      </c>
      <c r="K78" s="47" t="str">
        <f aca="false">IF(B78="","",SUMIFS(Bills!$K$8:$K$507,Bills!$D$8:$D$507,B78)-MAX(0,R78-SUMIFS(Bills!$P$8:$P$507,Bills!$D$8:$D$507,B78)))</f>
        <v/>
      </c>
      <c r="L78" s="48" t="str">
        <f aca="false">IF(B78="","",SUMIFS(Bills!$K$8:$K$507,Bills!$D$8:$D$507,B78,Bills!$L$8:$L$507,"&gt;0"))</f>
        <v/>
      </c>
      <c r="M78" s="48" t="str">
        <f aca="false">IF(B78="","",SUMIFS(Bills!$K$8:$K$507,Bills!$D$8:$D$507,B78,Bills!$V$8:$V$507,"&lt;="&amp;Setup!$C$9))</f>
        <v/>
      </c>
      <c r="N78" s="49" t="str">
        <f aca="false">IF(B78="","",IF(K78&lt;0,"Advance paid",IF(N(M78)&gt;0,"⚠ MSME deadline",IF(N(L78)&gt;0,"Overdue",IF(K78&gt;0,"Within credit","✔ Clear")))))</f>
        <v/>
      </c>
      <c r="O78" s="50" t="str">
        <f aca="false">IF(B78="","",IF(COUNTIF($B$7:$B$106,B78)&gt;1,"⚠ Name used twice",IF(AND(OR(F78="Micro",F78="Small"),G78=""),"Add Udyam no.","✔")))</f>
        <v/>
      </c>
      <c r="Q78" s="9" t="n">
        <f aca="false">IF(B78="",0,IF(E78="",Setup!$C$7,E78))</f>
        <v>0</v>
      </c>
      <c r="R78" s="9" t="n">
        <f aca="false">IF(B78="",0,SUMIFS(Payments!$J$8:$J$507,Payments!$C$8:$C$507,B78))</f>
        <v>0</v>
      </c>
      <c r="S78" s="9" t="str">
        <f aca="false">IF(OR(F78="Micro",F78="Small"),IF(H78="Yes",MIN(45,Q78),15),"")</f>
        <v/>
      </c>
    </row>
    <row r="79" customFormat="false" ht="15" hidden="false" customHeight="false" outlineLevel="0" collapsed="false">
      <c r="A79" s="40" t="str">
        <f aca="false">IF(B79="","",ROW()-6)</f>
        <v/>
      </c>
      <c r="B79" s="74"/>
      <c r="C79" s="75"/>
      <c r="D79" s="76"/>
      <c r="E79" s="77"/>
      <c r="F79" s="78"/>
      <c r="G79" s="75"/>
      <c r="H79" s="78"/>
      <c r="I79" s="46" t="str">
        <f aca="false">IF(B79="","",SUMIFS(Bills!$E$8:$E$507,Bills!$D$8:$D$507,B79))</f>
        <v/>
      </c>
      <c r="J79" s="46" t="str">
        <f aca="false">IF(B79="","",SUMIFS(Payments!$D$8:$D$507,Payments!$C$8:$C$507,B79))</f>
        <v/>
      </c>
      <c r="K79" s="47" t="str">
        <f aca="false">IF(B79="","",SUMIFS(Bills!$K$8:$K$507,Bills!$D$8:$D$507,B79)-MAX(0,R79-SUMIFS(Bills!$P$8:$P$507,Bills!$D$8:$D$507,B79)))</f>
        <v/>
      </c>
      <c r="L79" s="48" t="str">
        <f aca="false">IF(B79="","",SUMIFS(Bills!$K$8:$K$507,Bills!$D$8:$D$507,B79,Bills!$L$8:$L$507,"&gt;0"))</f>
        <v/>
      </c>
      <c r="M79" s="48" t="str">
        <f aca="false">IF(B79="","",SUMIFS(Bills!$K$8:$K$507,Bills!$D$8:$D$507,B79,Bills!$V$8:$V$507,"&lt;="&amp;Setup!$C$9))</f>
        <v/>
      </c>
      <c r="N79" s="49" t="str">
        <f aca="false">IF(B79="","",IF(K79&lt;0,"Advance paid",IF(N(M79)&gt;0,"⚠ MSME deadline",IF(N(L79)&gt;0,"Overdue",IF(K79&gt;0,"Within credit","✔ Clear")))))</f>
        <v/>
      </c>
      <c r="O79" s="50" t="str">
        <f aca="false">IF(B79="","",IF(COUNTIF($B$7:$B$106,B79)&gt;1,"⚠ Name used twice",IF(AND(OR(F79="Micro",F79="Small"),G79=""),"Add Udyam no.","✔")))</f>
        <v/>
      </c>
      <c r="Q79" s="9" t="n">
        <f aca="false">IF(B79="",0,IF(E79="",Setup!$C$7,E79))</f>
        <v>0</v>
      </c>
      <c r="R79" s="9" t="n">
        <f aca="false">IF(B79="",0,SUMIFS(Payments!$J$8:$J$507,Payments!$C$8:$C$507,B79))</f>
        <v>0</v>
      </c>
      <c r="S79" s="9" t="str">
        <f aca="false">IF(OR(F79="Micro",F79="Small"),IF(H79="Yes",MIN(45,Q79),15),"")</f>
        <v/>
      </c>
    </row>
    <row r="80" customFormat="false" ht="15" hidden="false" customHeight="false" outlineLevel="0" collapsed="false">
      <c r="A80" s="40" t="str">
        <f aca="false">IF(B80="","",ROW()-6)</f>
        <v/>
      </c>
      <c r="B80" s="74"/>
      <c r="C80" s="75"/>
      <c r="D80" s="76"/>
      <c r="E80" s="77"/>
      <c r="F80" s="78"/>
      <c r="G80" s="75"/>
      <c r="H80" s="78"/>
      <c r="I80" s="46" t="str">
        <f aca="false">IF(B80="","",SUMIFS(Bills!$E$8:$E$507,Bills!$D$8:$D$507,B80))</f>
        <v/>
      </c>
      <c r="J80" s="46" t="str">
        <f aca="false">IF(B80="","",SUMIFS(Payments!$D$8:$D$507,Payments!$C$8:$C$507,B80))</f>
        <v/>
      </c>
      <c r="K80" s="47" t="str">
        <f aca="false">IF(B80="","",SUMIFS(Bills!$K$8:$K$507,Bills!$D$8:$D$507,B80)-MAX(0,R80-SUMIFS(Bills!$P$8:$P$507,Bills!$D$8:$D$507,B80)))</f>
        <v/>
      </c>
      <c r="L80" s="48" t="str">
        <f aca="false">IF(B80="","",SUMIFS(Bills!$K$8:$K$507,Bills!$D$8:$D$507,B80,Bills!$L$8:$L$507,"&gt;0"))</f>
        <v/>
      </c>
      <c r="M80" s="48" t="str">
        <f aca="false">IF(B80="","",SUMIFS(Bills!$K$8:$K$507,Bills!$D$8:$D$507,B80,Bills!$V$8:$V$507,"&lt;="&amp;Setup!$C$9))</f>
        <v/>
      </c>
      <c r="N80" s="49" t="str">
        <f aca="false">IF(B80="","",IF(K80&lt;0,"Advance paid",IF(N(M80)&gt;0,"⚠ MSME deadline",IF(N(L80)&gt;0,"Overdue",IF(K80&gt;0,"Within credit","✔ Clear")))))</f>
        <v/>
      </c>
      <c r="O80" s="50" t="str">
        <f aca="false">IF(B80="","",IF(COUNTIF($B$7:$B$106,B80)&gt;1,"⚠ Name used twice",IF(AND(OR(F80="Micro",F80="Small"),G80=""),"Add Udyam no.","✔")))</f>
        <v/>
      </c>
      <c r="Q80" s="9" t="n">
        <f aca="false">IF(B80="",0,IF(E80="",Setup!$C$7,E80))</f>
        <v>0</v>
      </c>
      <c r="R80" s="9" t="n">
        <f aca="false">IF(B80="",0,SUMIFS(Payments!$J$8:$J$507,Payments!$C$8:$C$507,B80))</f>
        <v>0</v>
      </c>
      <c r="S80" s="9" t="str">
        <f aca="false">IF(OR(F80="Micro",F80="Small"),IF(H80="Yes",MIN(45,Q80),15),"")</f>
        <v/>
      </c>
    </row>
    <row r="81" customFormat="false" ht="15" hidden="false" customHeight="false" outlineLevel="0" collapsed="false">
      <c r="A81" s="40" t="str">
        <f aca="false">IF(B81="","",ROW()-6)</f>
        <v/>
      </c>
      <c r="B81" s="74"/>
      <c r="C81" s="75"/>
      <c r="D81" s="76"/>
      <c r="E81" s="77"/>
      <c r="F81" s="78"/>
      <c r="G81" s="75"/>
      <c r="H81" s="78"/>
      <c r="I81" s="46" t="str">
        <f aca="false">IF(B81="","",SUMIFS(Bills!$E$8:$E$507,Bills!$D$8:$D$507,B81))</f>
        <v/>
      </c>
      <c r="J81" s="46" t="str">
        <f aca="false">IF(B81="","",SUMIFS(Payments!$D$8:$D$507,Payments!$C$8:$C$507,B81))</f>
        <v/>
      </c>
      <c r="K81" s="47" t="str">
        <f aca="false">IF(B81="","",SUMIFS(Bills!$K$8:$K$507,Bills!$D$8:$D$507,B81)-MAX(0,R81-SUMIFS(Bills!$P$8:$P$507,Bills!$D$8:$D$507,B81)))</f>
        <v/>
      </c>
      <c r="L81" s="48" t="str">
        <f aca="false">IF(B81="","",SUMIFS(Bills!$K$8:$K$507,Bills!$D$8:$D$507,B81,Bills!$L$8:$L$507,"&gt;0"))</f>
        <v/>
      </c>
      <c r="M81" s="48" t="str">
        <f aca="false">IF(B81="","",SUMIFS(Bills!$K$8:$K$507,Bills!$D$8:$D$507,B81,Bills!$V$8:$V$507,"&lt;="&amp;Setup!$C$9))</f>
        <v/>
      </c>
      <c r="N81" s="49" t="str">
        <f aca="false">IF(B81="","",IF(K81&lt;0,"Advance paid",IF(N(M81)&gt;0,"⚠ MSME deadline",IF(N(L81)&gt;0,"Overdue",IF(K81&gt;0,"Within credit","✔ Clear")))))</f>
        <v/>
      </c>
      <c r="O81" s="50" t="str">
        <f aca="false">IF(B81="","",IF(COUNTIF($B$7:$B$106,B81)&gt;1,"⚠ Name used twice",IF(AND(OR(F81="Micro",F81="Small"),G81=""),"Add Udyam no.","✔")))</f>
        <v/>
      </c>
      <c r="Q81" s="9" t="n">
        <f aca="false">IF(B81="",0,IF(E81="",Setup!$C$7,E81))</f>
        <v>0</v>
      </c>
      <c r="R81" s="9" t="n">
        <f aca="false">IF(B81="",0,SUMIFS(Payments!$J$8:$J$507,Payments!$C$8:$C$507,B81))</f>
        <v>0</v>
      </c>
      <c r="S81" s="9" t="str">
        <f aca="false">IF(OR(F81="Micro",F81="Small"),IF(H81="Yes",MIN(45,Q81),15),"")</f>
        <v/>
      </c>
    </row>
    <row r="82" customFormat="false" ht="15" hidden="false" customHeight="false" outlineLevel="0" collapsed="false">
      <c r="A82" s="40" t="str">
        <f aca="false">IF(B82="","",ROW()-6)</f>
        <v/>
      </c>
      <c r="B82" s="74"/>
      <c r="C82" s="75"/>
      <c r="D82" s="76"/>
      <c r="E82" s="77"/>
      <c r="F82" s="78"/>
      <c r="G82" s="75"/>
      <c r="H82" s="78"/>
      <c r="I82" s="46" t="str">
        <f aca="false">IF(B82="","",SUMIFS(Bills!$E$8:$E$507,Bills!$D$8:$D$507,B82))</f>
        <v/>
      </c>
      <c r="J82" s="46" t="str">
        <f aca="false">IF(B82="","",SUMIFS(Payments!$D$8:$D$507,Payments!$C$8:$C$507,B82))</f>
        <v/>
      </c>
      <c r="K82" s="47" t="str">
        <f aca="false">IF(B82="","",SUMIFS(Bills!$K$8:$K$507,Bills!$D$8:$D$507,B82)-MAX(0,R82-SUMIFS(Bills!$P$8:$P$507,Bills!$D$8:$D$507,B82)))</f>
        <v/>
      </c>
      <c r="L82" s="48" t="str">
        <f aca="false">IF(B82="","",SUMIFS(Bills!$K$8:$K$507,Bills!$D$8:$D$507,B82,Bills!$L$8:$L$507,"&gt;0"))</f>
        <v/>
      </c>
      <c r="M82" s="48" t="str">
        <f aca="false">IF(B82="","",SUMIFS(Bills!$K$8:$K$507,Bills!$D$8:$D$507,B82,Bills!$V$8:$V$507,"&lt;="&amp;Setup!$C$9))</f>
        <v/>
      </c>
      <c r="N82" s="49" t="str">
        <f aca="false">IF(B82="","",IF(K82&lt;0,"Advance paid",IF(N(M82)&gt;0,"⚠ MSME deadline",IF(N(L82)&gt;0,"Overdue",IF(K82&gt;0,"Within credit","✔ Clear")))))</f>
        <v/>
      </c>
      <c r="O82" s="50" t="str">
        <f aca="false">IF(B82="","",IF(COUNTIF($B$7:$B$106,B82)&gt;1,"⚠ Name used twice",IF(AND(OR(F82="Micro",F82="Small"),G82=""),"Add Udyam no.","✔")))</f>
        <v/>
      </c>
      <c r="Q82" s="9" t="n">
        <f aca="false">IF(B82="",0,IF(E82="",Setup!$C$7,E82))</f>
        <v>0</v>
      </c>
      <c r="R82" s="9" t="n">
        <f aca="false">IF(B82="",0,SUMIFS(Payments!$J$8:$J$507,Payments!$C$8:$C$507,B82))</f>
        <v>0</v>
      </c>
      <c r="S82" s="9" t="str">
        <f aca="false">IF(OR(F82="Micro",F82="Small"),IF(H82="Yes",MIN(45,Q82),15),"")</f>
        <v/>
      </c>
    </row>
    <row r="83" customFormat="false" ht="15" hidden="false" customHeight="false" outlineLevel="0" collapsed="false">
      <c r="A83" s="40" t="str">
        <f aca="false">IF(B83="","",ROW()-6)</f>
        <v/>
      </c>
      <c r="B83" s="74"/>
      <c r="C83" s="75"/>
      <c r="D83" s="76"/>
      <c r="E83" s="77"/>
      <c r="F83" s="78"/>
      <c r="G83" s="75"/>
      <c r="H83" s="78"/>
      <c r="I83" s="46" t="str">
        <f aca="false">IF(B83="","",SUMIFS(Bills!$E$8:$E$507,Bills!$D$8:$D$507,B83))</f>
        <v/>
      </c>
      <c r="J83" s="46" t="str">
        <f aca="false">IF(B83="","",SUMIFS(Payments!$D$8:$D$507,Payments!$C$8:$C$507,B83))</f>
        <v/>
      </c>
      <c r="K83" s="47" t="str">
        <f aca="false">IF(B83="","",SUMIFS(Bills!$K$8:$K$507,Bills!$D$8:$D$507,B83)-MAX(0,R83-SUMIFS(Bills!$P$8:$P$507,Bills!$D$8:$D$507,B83)))</f>
        <v/>
      </c>
      <c r="L83" s="48" t="str">
        <f aca="false">IF(B83="","",SUMIFS(Bills!$K$8:$K$507,Bills!$D$8:$D$507,B83,Bills!$L$8:$L$507,"&gt;0"))</f>
        <v/>
      </c>
      <c r="M83" s="48" t="str">
        <f aca="false">IF(B83="","",SUMIFS(Bills!$K$8:$K$507,Bills!$D$8:$D$507,B83,Bills!$V$8:$V$507,"&lt;="&amp;Setup!$C$9))</f>
        <v/>
      </c>
      <c r="N83" s="49" t="str">
        <f aca="false">IF(B83="","",IF(K83&lt;0,"Advance paid",IF(N(M83)&gt;0,"⚠ MSME deadline",IF(N(L83)&gt;0,"Overdue",IF(K83&gt;0,"Within credit","✔ Clear")))))</f>
        <v/>
      </c>
      <c r="O83" s="50" t="str">
        <f aca="false">IF(B83="","",IF(COUNTIF($B$7:$B$106,B83)&gt;1,"⚠ Name used twice",IF(AND(OR(F83="Micro",F83="Small"),G83=""),"Add Udyam no.","✔")))</f>
        <v/>
      </c>
      <c r="Q83" s="9" t="n">
        <f aca="false">IF(B83="",0,IF(E83="",Setup!$C$7,E83))</f>
        <v>0</v>
      </c>
      <c r="R83" s="9" t="n">
        <f aca="false">IF(B83="",0,SUMIFS(Payments!$J$8:$J$507,Payments!$C$8:$C$507,B83))</f>
        <v>0</v>
      </c>
      <c r="S83" s="9" t="str">
        <f aca="false">IF(OR(F83="Micro",F83="Small"),IF(H83="Yes",MIN(45,Q83),15),"")</f>
        <v/>
      </c>
    </row>
    <row r="84" customFormat="false" ht="15" hidden="false" customHeight="false" outlineLevel="0" collapsed="false">
      <c r="A84" s="40" t="str">
        <f aca="false">IF(B84="","",ROW()-6)</f>
        <v/>
      </c>
      <c r="B84" s="74"/>
      <c r="C84" s="75"/>
      <c r="D84" s="76"/>
      <c r="E84" s="77"/>
      <c r="F84" s="78"/>
      <c r="G84" s="75"/>
      <c r="H84" s="78"/>
      <c r="I84" s="46" t="str">
        <f aca="false">IF(B84="","",SUMIFS(Bills!$E$8:$E$507,Bills!$D$8:$D$507,B84))</f>
        <v/>
      </c>
      <c r="J84" s="46" t="str">
        <f aca="false">IF(B84="","",SUMIFS(Payments!$D$8:$D$507,Payments!$C$8:$C$507,B84))</f>
        <v/>
      </c>
      <c r="K84" s="47" t="str">
        <f aca="false">IF(B84="","",SUMIFS(Bills!$K$8:$K$507,Bills!$D$8:$D$507,B84)-MAX(0,R84-SUMIFS(Bills!$P$8:$P$507,Bills!$D$8:$D$507,B84)))</f>
        <v/>
      </c>
      <c r="L84" s="48" t="str">
        <f aca="false">IF(B84="","",SUMIFS(Bills!$K$8:$K$507,Bills!$D$8:$D$507,B84,Bills!$L$8:$L$507,"&gt;0"))</f>
        <v/>
      </c>
      <c r="M84" s="48" t="str">
        <f aca="false">IF(B84="","",SUMIFS(Bills!$K$8:$K$507,Bills!$D$8:$D$507,B84,Bills!$V$8:$V$507,"&lt;="&amp;Setup!$C$9))</f>
        <v/>
      </c>
      <c r="N84" s="49" t="str">
        <f aca="false">IF(B84="","",IF(K84&lt;0,"Advance paid",IF(N(M84)&gt;0,"⚠ MSME deadline",IF(N(L84)&gt;0,"Overdue",IF(K84&gt;0,"Within credit","✔ Clear")))))</f>
        <v/>
      </c>
      <c r="O84" s="50" t="str">
        <f aca="false">IF(B84="","",IF(COUNTIF($B$7:$B$106,B84)&gt;1,"⚠ Name used twice",IF(AND(OR(F84="Micro",F84="Small"),G84=""),"Add Udyam no.","✔")))</f>
        <v/>
      </c>
      <c r="Q84" s="9" t="n">
        <f aca="false">IF(B84="",0,IF(E84="",Setup!$C$7,E84))</f>
        <v>0</v>
      </c>
      <c r="R84" s="9" t="n">
        <f aca="false">IF(B84="",0,SUMIFS(Payments!$J$8:$J$507,Payments!$C$8:$C$507,B84))</f>
        <v>0</v>
      </c>
      <c r="S84" s="9" t="str">
        <f aca="false">IF(OR(F84="Micro",F84="Small"),IF(H84="Yes",MIN(45,Q84),15),"")</f>
        <v/>
      </c>
    </row>
    <row r="85" customFormat="false" ht="15" hidden="false" customHeight="false" outlineLevel="0" collapsed="false">
      <c r="A85" s="40" t="str">
        <f aca="false">IF(B85="","",ROW()-6)</f>
        <v/>
      </c>
      <c r="B85" s="74"/>
      <c r="C85" s="75"/>
      <c r="D85" s="76"/>
      <c r="E85" s="77"/>
      <c r="F85" s="78"/>
      <c r="G85" s="75"/>
      <c r="H85" s="78"/>
      <c r="I85" s="46" t="str">
        <f aca="false">IF(B85="","",SUMIFS(Bills!$E$8:$E$507,Bills!$D$8:$D$507,B85))</f>
        <v/>
      </c>
      <c r="J85" s="46" t="str">
        <f aca="false">IF(B85="","",SUMIFS(Payments!$D$8:$D$507,Payments!$C$8:$C$507,B85))</f>
        <v/>
      </c>
      <c r="K85" s="47" t="str">
        <f aca="false">IF(B85="","",SUMIFS(Bills!$K$8:$K$507,Bills!$D$8:$D$507,B85)-MAX(0,R85-SUMIFS(Bills!$P$8:$P$507,Bills!$D$8:$D$507,B85)))</f>
        <v/>
      </c>
      <c r="L85" s="48" t="str">
        <f aca="false">IF(B85="","",SUMIFS(Bills!$K$8:$K$507,Bills!$D$8:$D$507,B85,Bills!$L$8:$L$507,"&gt;0"))</f>
        <v/>
      </c>
      <c r="M85" s="48" t="str">
        <f aca="false">IF(B85="","",SUMIFS(Bills!$K$8:$K$507,Bills!$D$8:$D$507,B85,Bills!$V$8:$V$507,"&lt;="&amp;Setup!$C$9))</f>
        <v/>
      </c>
      <c r="N85" s="49" t="str">
        <f aca="false">IF(B85="","",IF(K85&lt;0,"Advance paid",IF(N(M85)&gt;0,"⚠ MSME deadline",IF(N(L85)&gt;0,"Overdue",IF(K85&gt;0,"Within credit","✔ Clear")))))</f>
        <v/>
      </c>
      <c r="O85" s="50" t="str">
        <f aca="false">IF(B85="","",IF(COUNTIF($B$7:$B$106,B85)&gt;1,"⚠ Name used twice",IF(AND(OR(F85="Micro",F85="Small"),G85=""),"Add Udyam no.","✔")))</f>
        <v/>
      </c>
      <c r="Q85" s="9" t="n">
        <f aca="false">IF(B85="",0,IF(E85="",Setup!$C$7,E85))</f>
        <v>0</v>
      </c>
      <c r="R85" s="9" t="n">
        <f aca="false">IF(B85="",0,SUMIFS(Payments!$J$8:$J$507,Payments!$C$8:$C$507,B85))</f>
        <v>0</v>
      </c>
      <c r="S85" s="9" t="str">
        <f aca="false">IF(OR(F85="Micro",F85="Small"),IF(H85="Yes",MIN(45,Q85),15),"")</f>
        <v/>
      </c>
    </row>
    <row r="86" customFormat="false" ht="15" hidden="false" customHeight="false" outlineLevel="0" collapsed="false">
      <c r="A86" s="40" t="str">
        <f aca="false">IF(B86="","",ROW()-6)</f>
        <v/>
      </c>
      <c r="B86" s="74"/>
      <c r="C86" s="75"/>
      <c r="D86" s="76"/>
      <c r="E86" s="77"/>
      <c r="F86" s="78"/>
      <c r="G86" s="75"/>
      <c r="H86" s="78"/>
      <c r="I86" s="46" t="str">
        <f aca="false">IF(B86="","",SUMIFS(Bills!$E$8:$E$507,Bills!$D$8:$D$507,B86))</f>
        <v/>
      </c>
      <c r="J86" s="46" t="str">
        <f aca="false">IF(B86="","",SUMIFS(Payments!$D$8:$D$507,Payments!$C$8:$C$507,B86))</f>
        <v/>
      </c>
      <c r="K86" s="47" t="str">
        <f aca="false">IF(B86="","",SUMIFS(Bills!$K$8:$K$507,Bills!$D$8:$D$507,B86)-MAX(0,R86-SUMIFS(Bills!$P$8:$P$507,Bills!$D$8:$D$507,B86)))</f>
        <v/>
      </c>
      <c r="L86" s="48" t="str">
        <f aca="false">IF(B86="","",SUMIFS(Bills!$K$8:$K$507,Bills!$D$8:$D$507,B86,Bills!$L$8:$L$507,"&gt;0"))</f>
        <v/>
      </c>
      <c r="M86" s="48" t="str">
        <f aca="false">IF(B86="","",SUMIFS(Bills!$K$8:$K$507,Bills!$D$8:$D$507,B86,Bills!$V$8:$V$507,"&lt;="&amp;Setup!$C$9))</f>
        <v/>
      </c>
      <c r="N86" s="49" t="str">
        <f aca="false">IF(B86="","",IF(K86&lt;0,"Advance paid",IF(N(M86)&gt;0,"⚠ MSME deadline",IF(N(L86)&gt;0,"Overdue",IF(K86&gt;0,"Within credit","✔ Clear")))))</f>
        <v/>
      </c>
      <c r="O86" s="50" t="str">
        <f aca="false">IF(B86="","",IF(COUNTIF($B$7:$B$106,B86)&gt;1,"⚠ Name used twice",IF(AND(OR(F86="Micro",F86="Small"),G86=""),"Add Udyam no.","✔")))</f>
        <v/>
      </c>
      <c r="Q86" s="9" t="n">
        <f aca="false">IF(B86="",0,IF(E86="",Setup!$C$7,E86))</f>
        <v>0</v>
      </c>
      <c r="R86" s="9" t="n">
        <f aca="false">IF(B86="",0,SUMIFS(Payments!$J$8:$J$507,Payments!$C$8:$C$507,B86))</f>
        <v>0</v>
      </c>
      <c r="S86" s="9" t="str">
        <f aca="false">IF(OR(F86="Micro",F86="Small"),IF(H86="Yes",MIN(45,Q86),15),"")</f>
        <v/>
      </c>
    </row>
    <row r="87" customFormat="false" ht="15" hidden="false" customHeight="false" outlineLevel="0" collapsed="false">
      <c r="A87" s="40" t="str">
        <f aca="false">IF(B87="","",ROW()-6)</f>
        <v/>
      </c>
      <c r="B87" s="74"/>
      <c r="C87" s="75"/>
      <c r="D87" s="76"/>
      <c r="E87" s="77"/>
      <c r="F87" s="78"/>
      <c r="G87" s="75"/>
      <c r="H87" s="78"/>
      <c r="I87" s="46" t="str">
        <f aca="false">IF(B87="","",SUMIFS(Bills!$E$8:$E$507,Bills!$D$8:$D$507,B87))</f>
        <v/>
      </c>
      <c r="J87" s="46" t="str">
        <f aca="false">IF(B87="","",SUMIFS(Payments!$D$8:$D$507,Payments!$C$8:$C$507,B87))</f>
        <v/>
      </c>
      <c r="K87" s="47" t="str">
        <f aca="false">IF(B87="","",SUMIFS(Bills!$K$8:$K$507,Bills!$D$8:$D$507,B87)-MAX(0,R87-SUMIFS(Bills!$P$8:$P$507,Bills!$D$8:$D$507,B87)))</f>
        <v/>
      </c>
      <c r="L87" s="48" t="str">
        <f aca="false">IF(B87="","",SUMIFS(Bills!$K$8:$K$507,Bills!$D$8:$D$507,B87,Bills!$L$8:$L$507,"&gt;0"))</f>
        <v/>
      </c>
      <c r="M87" s="48" t="str">
        <f aca="false">IF(B87="","",SUMIFS(Bills!$K$8:$K$507,Bills!$D$8:$D$507,B87,Bills!$V$8:$V$507,"&lt;="&amp;Setup!$C$9))</f>
        <v/>
      </c>
      <c r="N87" s="49" t="str">
        <f aca="false">IF(B87="","",IF(K87&lt;0,"Advance paid",IF(N(M87)&gt;0,"⚠ MSME deadline",IF(N(L87)&gt;0,"Overdue",IF(K87&gt;0,"Within credit","✔ Clear")))))</f>
        <v/>
      </c>
      <c r="O87" s="50" t="str">
        <f aca="false">IF(B87="","",IF(COUNTIF($B$7:$B$106,B87)&gt;1,"⚠ Name used twice",IF(AND(OR(F87="Micro",F87="Small"),G87=""),"Add Udyam no.","✔")))</f>
        <v/>
      </c>
      <c r="Q87" s="9" t="n">
        <f aca="false">IF(B87="",0,IF(E87="",Setup!$C$7,E87))</f>
        <v>0</v>
      </c>
      <c r="R87" s="9" t="n">
        <f aca="false">IF(B87="",0,SUMIFS(Payments!$J$8:$J$507,Payments!$C$8:$C$507,B87))</f>
        <v>0</v>
      </c>
      <c r="S87" s="9" t="str">
        <f aca="false">IF(OR(F87="Micro",F87="Small"),IF(H87="Yes",MIN(45,Q87),15),"")</f>
        <v/>
      </c>
    </row>
    <row r="88" customFormat="false" ht="15" hidden="false" customHeight="false" outlineLevel="0" collapsed="false">
      <c r="A88" s="40" t="str">
        <f aca="false">IF(B88="","",ROW()-6)</f>
        <v/>
      </c>
      <c r="B88" s="74"/>
      <c r="C88" s="75"/>
      <c r="D88" s="76"/>
      <c r="E88" s="77"/>
      <c r="F88" s="78"/>
      <c r="G88" s="75"/>
      <c r="H88" s="78"/>
      <c r="I88" s="46" t="str">
        <f aca="false">IF(B88="","",SUMIFS(Bills!$E$8:$E$507,Bills!$D$8:$D$507,B88))</f>
        <v/>
      </c>
      <c r="J88" s="46" t="str">
        <f aca="false">IF(B88="","",SUMIFS(Payments!$D$8:$D$507,Payments!$C$8:$C$507,B88))</f>
        <v/>
      </c>
      <c r="K88" s="47" t="str">
        <f aca="false">IF(B88="","",SUMIFS(Bills!$K$8:$K$507,Bills!$D$8:$D$507,B88)-MAX(0,R88-SUMIFS(Bills!$P$8:$P$507,Bills!$D$8:$D$507,B88)))</f>
        <v/>
      </c>
      <c r="L88" s="48" t="str">
        <f aca="false">IF(B88="","",SUMIFS(Bills!$K$8:$K$507,Bills!$D$8:$D$507,B88,Bills!$L$8:$L$507,"&gt;0"))</f>
        <v/>
      </c>
      <c r="M88" s="48" t="str">
        <f aca="false">IF(B88="","",SUMIFS(Bills!$K$8:$K$507,Bills!$D$8:$D$507,B88,Bills!$V$8:$V$507,"&lt;="&amp;Setup!$C$9))</f>
        <v/>
      </c>
      <c r="N88" s="49" t="str">
        <f aca="false">IF(B88="","",IF(K88&lt;0,"Advance paid",IF(N(M88)&gt;0,"⚠ MSME deadline",IF(N(L88)&gt;0,"Overdue",IF(K88&gt;0,"Within credit","✔ Clear")))))</f>
        <v/>
      </c>
      <c r="O88" s="50" t="str">
        <f aca="false">IF(B88="","",IF(COUNTIF($B$7:$B$106,B88)&gt;1,"⚠ Name used twice",IF(AND(OR(F88="Micro",F88="Small"),G88=""),"Add Udyam no.","✔")))</f>
        <v/>
      </c>
      <c r="Q88" s="9" t="n">
        <f aca="false">IF(B88="",0,IF(E88="",Setup!$C$7,E88))</f>
        <v>0</v>
      </c>
      <c r="R88" s="9" t="n">
        <f aca="false">IF(B88="",0,SUMIFS(Payments!$J$8:$J$507,Payments!$C$8:$C$507,B88))</f>
        <v>0</v>
      </c>
      <c r="S88" s="9" t="str">
        <f aca="false">IF(OR(F88="Micro",F88="Small"),IF(H88="Yes",MIN(45,Q88),15),"")</f>
        <v/>
      </c>
    </row>
    <row r="89" customFormat="false" ht="15" hidden="false" customHeight="false" outlineLevel="0" collapsed="false">
      <c r="A89" s="40" t="str">
        <f aca="false">IF(B89="","",ROW()-6)</f>
        <v/>
      </c>
      <c r="B89" s="74"/>
      <c r="C89" s="75"/>
      <c r="D89" s="76"/>
      <c r="E89" s="77"/>
      <c r="F89" s="78"/>
      <c r="G89" s="75"/>
      <c r="H89" s="78"/>
      <c r="I89" s="46" t="str">
        <f aca="false">IF(B89="","",SUMIFS(Bills!$E$8:$E$507,Bills!$D$8:$D$507,B89))</f>
        <v/>
      </c>
      <c r="J89" s="46" t="str">
        <f aca="false">IF(B89="","",SUMIFS(Payments!$D$8:$D$507,Payments!$C$8:$C$507,B89))</f>
        <v/>
      </c>
      <c r="K89" s="47" t="str">
        <f aca="false">IF(B89="","",SUMIFS(Bills!$K$8:$K$507,Bills!$D$8:$D$507,B89)-MAX(0,R89-SUMIFS(Bills!$P$8:$P$507,Bills!$D$8:$D$507,B89)))</f>
        <v/>
      </c>
      <c r="L89" s="48" t="str">
        <f aca="false">IF(B89="","",SUMIFS(Bills!$K$8:$K$507,Bills!$D$8:$D$507,B89,Bills!$L$8:$L$507,"&gt;0"))</f>
        <v/>
      </c>
      <c r="M89" s="48" t="str">
        <f aca="false">IF(B89="","",SUMIFS(Bills!$K$8:$K$507,Bills!$D$8:$D$507,B89,Bills!$V$8:$V$507,"&lt;="&amp;Setup!$C$9))</f>
        <v/>
      </c>
      <c r="N89" s="49" t="str">
        <f aca="false">IF(B89="","",IF(K89&lt;0,"Advance paid",IF(N(M89)&gt;0,"⚠ MSME deadline",IF(N(L89)&gt;0,"Overdue",IF(K89&gt;0,"Within credit","✔ Clear")))))</f>
        <v/>
      </c>
      <c r="O89" s="50" t="str">
        <f aca="false">IF(B89="","",IF(COUNTIF($B$7:$B$106,B89)&gt;1,"⚠ Name used twice",IF(AND(OR(F89="Micro",F89="Small"),G89=""),"Add Udyam no.","✔")))</f>
        <v/>
      </c>
      <c r="Q89" s="9" t="n">
        <f aca="false">IF(B89="",0,IF(E89="",Setup!$C$7,E89))</f>
        <v>0</v>
      </c>
      <c r="R89" s="9" t="n">
        <f aca="false">IF(B89="",0,SUMIFS(Payments!$J$8:$J$507,Payments!$C$8:$C$507,B89))</f>
        <v>0</v>
      </c>
      <c r="S89" s="9" t="str">
        <f aca="false">IF(OR(F89="Micro",F89="Small"),IF(H89="Yes",MIN(45,Q89),15),"")</f>
        <v/>
      </c>
    </row>
    <row r="90" customFormat="false" ht="15" hidden="false" customHeight="false" outlineLevel="0" collapsed="false">
      <c r="A90" s="40" t="str">
        <f aca="false">IF(B90="","",ROW()-6)</f>
        <v/>
      </c>
      <c r="B90" s="74"/>
      <c r="C90" s="75"/>
      <c r="D90" s="76"/>
      <c r="E90" s="77"/>
      <c r="F90" s="78"/>
      <c r="G90" s="75"/>
      <c r="H90" s="78"/>
      <c r="I90" s="46" t="str">
        <f aca="false">IF(B90="","",SUMIFS(Bills!$E$8:$E$507,Bills!$D$8:$D$507,B90))</f>
        <v/>
      </c>
      <c r="J90" s="46" t="str">
        <f aca="false">IF(B90="","",SUMIFS(Payments!$D$8:$D$507,Payments!$C$8:$C$507,B90))</f>
        <v/>
      </c>
      <c r="K90" s="47" t="str">
        <f aca="false">IF(B90="","",SUMIFS(Bills!$K$8:$K$507,Bills!$D$8:$D$507,B90)-MAX(0,R90-SUMIFS(Bills!$P$8:$P$507,Bills!$D$8:$D$507,B90)))</f>
        <v/>
      </c>
      <c r="L90" s="48" t="str">
        <f aca="false">IF(B90="","",SUMIFS(Bills!$K$8:$K$507,Bills!$D$8:$D$507,B90,Bills!$L$8:$L$507,"&gt;0"))</f>
        <v/>
      </c>
      <c r="M90" s="48" t="str">
        <f aca="false">IF(B90="","",SUMIFS(Bills!$K$8:$K$507,Bills!$D$8:$D$507,B90,Bills!$V$8:$V$507,"&lt;="&amp;Setup!$C$9))</f>
        <v/>
      </c>
      <c r="N90" s="49" t="str">
        <f aca="false">IF(B90="","",IF(K90&lt;0,"Advance paid",IF(N(M90)&gt;0,"⚠ MSME deadline",IF(N(L90)&gt;0,"Overdue",IF(K90&gt;0,"Within credit","✔ Clear")))))</f>
        <v/>
      </c>
      <c r="O90" s="50" t="str">
        <f aca="false">IF(B90="","",IF(COUNTIF($B$7:$B$106,B90)&gt;1,"⚠ Name used twice",IF(AND(OR(F90="Micro",F90="Small"),G90=""),"Add Udyam no.","✔")))</f>
        <v/>
      </c>
      <c r="Q90" s="9" t="n">
        <f aca="false">IF(B90="",0,IF(E90="",Setup!$C$7,E90))</f>
        <v>0</v>
      </c>
      <c r="R90" s="9" t="n">
        <f aca="false">IF(B90="",0,SUMIFS(Payments!$J$8:$J$507,Payments!$C$8:$C$507,B90))</f>
        <v>0</v>
      </c>
      <c r="S90" s="9" t="str">
        <f aca="false">IF(OR(F90="Micro",F90="Small"),IF(H90="Yes",MIN(45,Q90),15),"")</f>
        <v/>
      </c>
    </row>
    <row r="91" customFormat="false" ht="15" hidden="false" customHeight="false" outlineLevel="0" collapsed="false">
      <c r="A91" s="40" t="str">
        <f aca="false">IF(B91="","",ROW()-6)</f>
        <v/>
      </c>
      <c r="B91" s="74"/>
      <c r="C91" s="75"/>
      <c r="D91" s="76"/>
      <c r="E91" s="77"/>
      <c r="F91" s="78"/>
      <c r="G91" s="75"/>
      <c r="H91" s="78"/>
      <c r="I91" s="46" t="str">
        <f aca="false">IF(B91="","",SUMIFS(Bills!$E$8:$E$507,Bills!$D$8:$D$507,B91))</f>
        <v/>
      </c>
      <c r="J91" s="46" t="str">
        <f aca="false">IF(B91="","",SUMIFS(Payments!$D$8:$D$507,Payments!$C$8:$C$507,B91))</f>
        <v/>
      </c>
      <c r="K91" s="47" t="str">
        <f aca="false">IF(B91="","",SUMIFS(Bills!$K$8:$K$507,Bills!$D$8:$D$507,B91)-MAX(0,R91-SUMIFS(Bills!$P$8:$P$507,Bills!$D$8:$D$507,B91)))</f>
        <v/>
      </c>
      <c r="L91" s="48" t="str">
        <f aca="false">IF(B91="","",SUMIFS(Bills!$K$8:$K$507,Bills!$D$8:$D$507,B91,Bills!$L$8:$L$507,"&gt;0"))</f>
        <v/>
      </c>
      <c r="M91" s="48" t="str">
        <f aca="false">IF(B91="","",SUMIFS(Bills!$K$8:$K$507,Bills!$D$8:$D$507,B91,Bills!$V$8:$V$507,"&lt;="&amp;Setup!$C$9))</f>
        <v/>
      </c>
      <c r="N91" s="49" t="str">
        <f aca="false">IF(B91="","",IF(K91&lt;0,"Advance paid",IF(N(M91)&gt;0,"⚠ MSME deadline",IF(N(L91)&gt;0,"Overdue",IF(K91&gt;0,"Within credit","✔ Clear")))))</f>
        <v/>
      </c>
      <c r="O91" s="50" t="str">
        <f aca="false">IF(B91="","",IF(COUNTIF($B$7:$B$106,B91)&gt;1,"⚠ Name used twice",IF(AND(OR(F91="Micro",F91="Small"),G91=""),"Add Udyam no.","✔")))</f>
        <v/>
      </c>
      <c r="Q91" s="9" t="n">
        <f aca="false">IF(B91="",0,IF(E91="",Setup!$C$7,E91))</f>
        <v>0</v>
      </c>
      <c r="R91" s="9" t="n">
        <f aca="false">IF(B91="",0,SUMIFS(Payments!$J$8:$J$507,Payments!$C$8:$C$507,B91))</f>
        <v>0</v>
      </c>
      <c r="S91" s="9" t="str">
        <f aca="false">IF(OR(F91="Micro",F91="Small"),IF(H91="Yes",MIN(45,Q91),15),"")</f>
        <v/>
      </c>
    </row>
    <row r="92" customFormat="false" ht="15" hidden="false" customHeight="false" outlineLevel="0" collapsed="false">
      <c r="A92" s="40" t="str">
        <f aca="false">IF(B92="","",ROW()-6)</f>
        <v/>
      </c>
      <c r="B92" s="74"/>
      <c r="C92" s="75"/>
      <c r="D92" s="76"/>
      <c r="E92" s="77"/>
      <c r="F92" s="78"/>
      <c r="G92" s="75"/>
      <c r="H92" s="78"/>
      <c r="I92" s="46" t="str">
        <f aca="false">IF(B92="","",SUMIFS(Bills!$E$8:$E$507,Bills!$D$8:$D$507,B92))</f>
        <v/>
      </c>
      <c r="J92" s="46" t="str">
        <f aca="false">IF(B92="","",SUMIFS(Payments!$D$8:$D$507,Payments!$C$8:$C$507,B92))</f>
        <v/>
      </c>
      <c r="K92" s="47" t="str">
        <f aca="false">IF(B92="","",SUMIFS(Bills!$K$8:$K$507,Bills!$D$8:$D$507,B92)-MAX(0,R92-SUMIFS(Bills!$P$8:$P$507,Bills!$D$8:$D$507,B92)))</f>
        <v/>
      </c>
      <c r="L92" s="48" t="str">
        <f aca="false">IF(B92="","",SUMIFS(Bills!$K$8:$K$507,Bills!$D$8:$D$507,B92,Bills!$L$8:$L$507,"&gt;0"))</f>
        <v/>
      </c>
      <c r="M92" s="48" t="str">
        <f aca="false">IF(B92="","",SUMIFS(Bills!$K$8:$K$507,Bills!$D$8:$D$507,B92,Bills!$V$8:$V$507,"&lt;="&amp;Setup!$C$9))</f>
        <v/>
      </c>
      <c r="N92" s="49" t="str">
        <f aca="false">IF(B92="","",IF(K92&lt;0,"Advance paid",IF(N(M92)&gt;0,"⚠ MSME deadline",IF(N(L92)&gt;0,"Overdue",IF(K92&gt;0,"Within credit","✔ Clear")))))</f>
        <v/>
      </c>
      <c r="O92" s="50" t="str">
        <f aca="false">IF(B92="","",IF(COUNTIF($B$7:$B$106,B92)&gt;1,"⚠ Name used twice",IF(AND(OR(F92="Micro",F92="Small"),G92=""),"Add Udyam no.","✔")))</f>
        <v/>
      </c>
      <c r="Q92" s="9" t="n">
        <f aca="false">IF(B92="",0,IF(E92="",Setup!$C$7,E92))</f>
        <v>0</v>
      </c>
      <c r="R92" s="9" t="n">
        <f aca="false">IF(B92="",0,SUMIFS(Payments!$J$8:$J$507,Payments!$C$8:$C$507,B92))</f>
        <v>0</v>
      </c>
      <c r="S92" s="9" t="str">
        <f aca="false">IF(OR(F92="Micro",F92="Small"),IF(H92="Yes",MIN(45,Q92),15),"")</f>
        <v/>
      </c>
    </row>
    <row r="93" customFormat="false" ht="15" hidden="false" customHeight="false" outlineLevel="0" collapsed="false">
      <c r="A93" s="40" t="str">
        <f aca="false">IF(B93="","",ROW()-6)</f>
        <v/>
      </c>
      <c r="B93" s="74"/>
      <c r="C93" s="75"/>
      <c r="D93" s="76"/>
      <c r="E93" s="77"/>
      <c r="F93" s="78"/>
      <c r="G93" s="75"/>
      <c r="H93" s="78"/>
      <c r="I93" s="46" t="str">
        <f aca="false">IF(B93="","",SUMIFS(Bills!$E$8:$E$507,Bills!$D$8:$D$507,B93))</f>
        <v/>
      </c>
      <c r="J93" s="46" t="str">
        <f aca="false">IF(B93="","",SUMIFS(Payments!$D$8:$D$507,Payments!$C$8:$C$507,B93))</f>
        <v/>
      </c>
      <c r="K93" s="47" t="str">
        <f aca="false">IF(B93="","",SUMIFS(Bills!$K$8:$K$507,Bills!$D$8:$D$507,B93)-MAX(0,R93-SUMIFS(Bills!$P$8:$P$507,Bills!$D$8:$D$507,B93)))</f>
        <v/>
      </c>
      <c r="L93" s="48" t="str">
        <f aca="false">IF(B93="","",SUMIFS(Bills!$K$8:$K$507,Bills!$D$8:$D$507,B93,Bills!$L$8:$L$507,"&gt;0"))</f>
        <v/>
      </c>
      <c r="M93" s="48" t="str">
        <f aca="false">IF(B93="","",SUMIFS(Bills!$K$8:$K$507,Bills!$D$8:$D$507,B93,Bills!$V$8:$V$507,"&lt;="&amp;Setup!$C$9))</f>
        <v/>
      </c>
      <c r="N93" s="49" t="str">
        <f aca="false">IF(B93="","",IF(K93&lt;0,"Advance paid",IF(N(M93)&gt;0,"⚠ MSME deadline",IF(N(L93)&gt;0,"Overdue",IF(K93&gt;0,"Within credit","✔ Clear")))))</f>
        <v/>
      </c>
      <c r="O93" s="50" t="str">
        <f aca="false">IF(B93="","",IF(COUNTIF($B$7:$B$106,B93)&gt;1,"⚠ Name used twice",IF(AND(OR(F93="Micro",F93="Small"),G93=""),"Add Udyam no.","✔")))</f>
        <v/>
      </c>
      <c r="Q93" s="9" t="n">
        <f aca="false">IF(B93="",0,IF(E93="",Setup!$C$7,E93))</f>
        <v>0</v>
      </c>
      <c r="R93" s="9" t="n">
        <f aca="false">IF(B93="",0,SUMIFS(Payments!$J$8:$J$507,Payments!$C$8:$C$507,B93))</f>
        <v>0</v>
      </c>
      <c r="S93" s="9" t="str">
        <f aca="false">IF(OR(F93="Micro",F93="Small"),IF(H93="Yes",MIN(45,Q93),15),"")</f>
        <v/>
      </c>
    </row>
    <row r="94" customFormat="false" ht="15" hidden="false" customHeight="false" outlineLevel="0" collapsed="false">
      <c r="A94" s="40" t="str">
        <f aca="false">IF(B94="","",ROW()-6)</f>
        <v/>
      </c>
      <c r="B94" s="74"/>
      <c r="C94" s="75"/>
      <c r="D94" s="76"/>
      <c r="E94" s="77"/>
      <c r="F94" s="78"/>
      <c r="G94" s="75"/>
      <c r="H94" s="78"/>
      <c r="I94" s="46" t="str">
        <f aca="false">IF(B94="","",SUMIFS(Bills!$E$8:$E$507,Bills!$D$8:$D$507,B94))</f>
        <v/>
      </c>
      <c r="J94" s="46" t="str">
        <f aca="false">IF(B94="","",SUMIFS(Payments!$D$8:$D$507,Payments!$C$8:$C$507,B94))</f>
        <v/>
      </c>
      <c r="K94" s="47" t="str">
        <f aca="false">IF(B94="","",SUMIFS(Bills!$K$8:$K$507,Bills!$D$8:$D$507,B94)-MAX(0,R94-SUMIFS(Bills!$P$8:$P$507,Bills!$D$8:$D$507,B94)))</f>
        <v/>
      </c>
      <c r="L94" s="48" t="str">
        <f aca="false">IF(B94="","",SUMIFS(Bills!$K$8:$K$507,Bills!$D$8:$D$507,B94,Bills!$L$8:$L$507,"&gt;0"))</f>
        <v/>
      </c>
      <c r="M94" s="48" t="str">
        <f aca="false">IF(B94="","",SUMIFS(Bills!$K$8:$K$507,Bills!$D$8:$D$507,B94,Bills!$V$8:$V$507,"&lt;="&amp;Setup!$C$9))</f>
        <v/>
      </c>
      <c r="N94" s="49" t="str">
        <f aca="false">IF(B94="","",IF(K94&lt;0,"Advance paid",IF(N(M94)&gt;0,"⚠ MSME deadline",IF(N(L94)&gt;0,"Overdue",IF(K94&gt;0,"Within credit","✔ Clear")))))</f>
        <v/>
      </c>
      <c r="O94" s="50" t="str">
        <f aca="false">IF(B94="","",IF(COUNTIF($B$7:$B$106,B94)&gt;1,"⚠ Name used twice",IF(AND(OR(F94="Micro",F94="Small"),G94=""),"Add Udyam no.","✔")))</f>
        <v/>
      </c>
      <c r="Q94" s="9" t="n">
        <f aca="false">IF(B94="",0,IF(E94="",Setup!$C$7,E94))</f>
        <v>0</v>
      </c>
      <c r="R94" s="9" t="n">
        <f aca="false">IF(B94="",0,SUMIFS(Payments!$J$8:$J$507,Payments!$C$8:$C$507,B94))</f>
        <v>0</v>
      </c>
      <c r="S94" s="9" t="str">
        <f aca="false">IF(OR(F94="Micro",F94="Small"),IF(H94="Yes",MIN(45,Q94),15),"")</f>
        <v/>
      </c>
    </row>
    <row r="95" customFormat="false" ht="15" hidden="false" customHeight="false" outlineLevel="0" collapsed="false">
      <c r="A95" s="40" t="str">
        <f aca="false">IF(B95="","",ROW()-6)</f>
        <v/>
      </c>
      <c r="B95" s="74"/>
      <c r="C95" s="75"/>
      <c r="D95" s="76"/>
      <c r="E95" s="77"/>
      <c r="F95" s="78"/>
      <c r="G95" s="75"/>
      <c r="H95" s="78"/>
      <c r="I95" s="46" t="str">
        <f aca="false">IF(B95="","",SUMIFS(Bills!$E$8:$E$507,Bills!$D$8:$D$507,B95))</f>
        <v/>
      </c>
      <c r="J95" s="46" t="str">
        <f aca="false">IF(B95="","",SUMIFS(Payments!$D$8:$D$507,Payments!$C$8:$C$507,B95))</f>
        <v/>
      </c>
      <c r="K95" s="47" t="str">
        <f aca="false">IF(B95="","",SUMIFS(Bills!$K$8:$K$507,Bills!$D$8:$D$507,B95)-MAX(0,R95-SUMIFS(Bills!$P$8:$P$507,Bills!$D$8:$D$507,B95)))</f>
        <v/>
      </c>
      <c r="L95" s="48" t="str">
        <f aca="false">IF(B95="","",SUMIFS(Bills!$K$8:$K$507,Bills!$D$8:$D$507,B95,Bills!$L$8:$L$507,"&gt;0"))</f>
        <v/>
      </c>
      <c r="M95" s="48" t="str">
        <f aca="false">IF(B95="","",SUMIFS(Bills!$K$8:$K$507,Bills!$D$8:$D$507,B95,Bills!$V$8:$V$507,"&lt;="&amp;Setup!$C$9))</f>
        <v/>
      </c>
      <c r="N95" s="49" t="str">
        <f aca="false">IF(B95="","",IF(K95&lt;0,"Advance paid",IF(N(M95)&gt;0,"⚠ MSME deadline",IF(N(L95)&gt;0,"Overdue",IF(K95&gt;0,"Within credit","✔ Clear")))))</f>
        <v/>
      </c>
      <c r="O95" s="50" t="str">
        <f aca="false">IF(B95="","",IF(COUNTIF($B$7:$B$106,B95)&gt;1,"⚠ Name used twice",IF(AND(OR(F95="Micro",F95="Small"),G95=""),"Add Udyam no.","✔")))</f>
        <v/>
      </c>
      <c r="Q95" s="9" t="n">
        <f aca="false">IF(B95="",0,IF(E95="",Setup!$C$7,E95))</f>
        <v>0</v>
      </c>
      <c r="R95" s="9" t="n">
        <f aca="false">IF(B95="",0,SUMIFS(Payments!$J$8:$J$507,Payments!$C$8:$C$507,B95))</f>
        <v>0</v>
      </c>
      <c r="S95" s="9" t="str">
        <f aca="false">IF(OR(F95="Micro",F95="Small"),IF(H95="Yes",MIN(45,Q95),15),"")</f>
        <v/>
      </c>
    </row>
    <row r="96" customFormat="false" ht="15" hidden="false" customHeight="false" outlineLevel="0" collapsed="false">
      <c r="A96" s="40" t="str">
        <f aca="false">IF(B96="","",ROW()-6)</f>
        <v/>
      </c>
      <c r="B96" s="74"/>
      <c r="C96" s="75"/>
      <c r="D96" s="76"/>
      <c r="E96" s="77"/>
      <c r="F96" s="78"/>
      <c r="G96" s="75"/>
      <c r="H96" s="78"/>
      <c r="I96" s="46" t="str">
        <f aca="false">IF(B96="","",SUMIFS(Bills!$E$8:$E$507,Bills!$D$8:$D$507,B96))</f>
        <v/>
      </c>
      <c r="J96" s="46" t="str">
        <f aca="false">IF(B96="","",SUMIFS(Payments!$D$8:$D$507,Payments!$C$8:$C$507,B96))</f>
        <v/>
      </c>
      <c r="K96" s="47" t="str">
        <f aca="false">IF(B96="","",SUMIFS(Bills!$K$8:$K$507,Bills!$D$8:$D$507,B96)-MAX(0,R96-SUMIFS(Bills!$P$8:$P$507,Bills!$D$8:$D$507,B96)))</f>
        <v/>
      </c>
      <c r="L96" s="48" t="str">
        <f aca="false">IF(B96="","",SUMIFS(Bills!$K$8:$K$507,Bills!$D$8:$D$507,B96,Bills!$L$8:$L$507,"&gt;0"))</f>
        <v/>
      </c>
      <c r="M96" s="48" t="str">
        <f aca="false">IF(B96="","",SUMIFS(Bills!$K$8:$K$507,Bills!$D$8:$D$507,B96,Bills!$V$8:$V$507,"&lt;="&amp;Setup!$C$9))</f>
        <v/>
      </c>
      <c r="N96" s="49" t="str">
        <f aca="false">IF(B96="","",IF(K96&lt;0,"Advance paid",IF(N(M96)&gt;0,"⚠ MSME deadline",IF(N(L96)&gt;0,"Overdue",IF(K96&gt;0,"Within credit","✔ Clear")))))</f>
        <v/>
      </c>
      <c r="O96" s="50" t="str">
        <f aca="false">IF(B96="","",IF(COUNTIF($B$7:$B$106,B96)&gt;1,"⚠ Name used twice",IF(AND(OR(F96="Micro",F96="Small"),G96=""),"Add Udyam no.","✔")))</f>
        <v/>
      </c>
      <c r="Q96" s="9" t="n">
        <f aca="false">IF(B96="",0,IF(E96="",Setup!$C$7,E96))</f>
        <v>0</v>
      </c>
      <c r="R96" s="9" t="n">
        <f aca="false">IF(B96="",0,SUMIFS(Payments!$J$8:$J$507,Payments!$C$8:$C$507,B96))</f>
        <v>0</v>
      </c>
      <c r="S96" s="9" t="str">
        <f aca="false">IF(OR(F96="Micro",F96="Small"),IF(H96="Yes",MIN(45,Q96),15),"")</f>
        <v/>
      </c>
    </row>
    <row r="97" customFormat="false" ht="15" hidden="false" customHeight="false" outlineLevel="0" collapsed="false">
      <c r="A97" s="40" t="str">
        <f aca="false">IF(B97="","",ROW()-6)</f>
        <v/>
      </c>
      <c r="B97" s="74"/>
      <c r="C97" s="75"/>
      <c r="D97" s="76"/>
      <c r="E97" s="77"/>
      <c r="F97" s="78"/>
      <c r="G97" s="75"/>
      <c r="H97" s="78"/>
      <c r="I97" s="46" t="str">
        <f aca="false">IF(B97="","",SUMIFS(Bills!$E$8:$E$507,Bills!$D$8:$D$507,B97))</f>
        <v/>
      </c>
      <c r="J97" s="46" t="str">
        <f aca="false">IF(B97="","",SUMIFS(Payments!$D$8:$D$507,Payments!$C$8:$C$507,B97))</f>
        <v/>
      </c>
      <c r="K97" s="47" t="str">
        <f aca="false">IF(B97="","",SUMIFS(Bills!$K$8:$K$507,Bills!$D$8:$D$507,B97)-MAX(0,R97-SUMIFS(Bills!$P$8:$P$507,Bills!$D$8:$D$507,B97)))</f>
        <v/>
      </c>
      <c r="L97" s="48" t="str">
        <f aca="false">IF(B97="","",SUMIFS(Bills!$K$8:$K$507,Bills!$D$8:$D$507,B97,Bills!$L$8:$L$507,"&gt;0"))</f>
        <v/>
      </c>
      <c r="M97" s="48" t="str">
        <f aca="false">IF(B97="","",SUMIFS(Bills!$K$8:$K$507,Bills!$D$8:$D$507,B97,Bills!$V$8:$V$507,"&lt;="&amp;Setup!$C$9))</f>
        <v/>
      </c>
      <c r="N97" s="49" t="str">
        <f aca="false">IF(B97="","",IF(K97&lt;0,"Advance paid",IF(N(M97)&gt;0,"⚠ MSME deadline",IF(N(L97)&gt;0,"Overdue",IF(K97&gt;0,"Within credit","✔ Clear")))))</f>
        <v/>
      </c>
      <c r="O97" s="50" t="str">
        <f aca="false">IF(B97="","",IF(COUNTIF($B$7:$B$106,B97)&gt;1,"⚠ Name used twice",IF(AND(OR(F97="Micro",F97="Small"),G97=""),"Add Udyam no.","✔")))</f>
        <v/>
      </c>
      <c r="Q97" s="9" t="n">
        <f aca="false">IF(B97="",0,IF(E97="",Setup!$C$7,E97))</f>
        <v>0</v>
      </c>
      <c r="R97" s="9" t="n">
        <f aca="false">IF(B97="",0,SUMIFS(Payments!$J$8:$J$507,Payments!$C$8:$C$507,B97))</f>
        <v>0</v>
      </c>
      <c r="S97" s="9" t="str">
        <f aca="false">IF(OR(F97="Micro",F97="Small"),IF(H97="Yes",MIN(45,Q97),15),"")</f>
        <v/>
      </c>
    </row>
    <row r="98" customFormat="false" ht="15" hidden="false" customHeight="false" outlineLevel="0" collapsed="false">
      <c r="A98" s="40" t="str">
        <f aca="false">IF(B98="","",ROW()-6)</f>
        <v/>
      </c>
      <c r="B98" s="74"/>
      <c r="C98" s="75"/>
      <c r="D98" s="76"/>
      <c r="E98" s="77"/>
      <c r="F98" s="78"/>
      <c r="G98" s="75"/>
      <c r="H98" s="78"/>
      <c r="I98" s="46" t="str">
        <f aca="false">IF(B98="","",SUMIFS(Bills!$E$8:$E$507,Bills!$D$8:$D$507,B98))</f>
        <v/>
      </c>
      <c r="J98" s="46" t="str">
        <f aca="false">IF(B98="","",SUMIFS(Payments!$D$8:$D$507,Payments!$C$8:$C$507,B98))</f>
        <v/>
      </c>
      <c r="K98" s="47" t="str">
        <f aca="false">IF(B98="","",SUMIFS(Bills!$K$8:$K$507,Bills!$D$8:$D$507,B98)-MAX(0,R98-SUMIFS(Bills!$P$8:$P$507,Bills!$D$8:$D$507,B98)))</f>
        <v/>
      </c>
      <c r="L98" s="48" t="str">
        <f aca="false">IF(B98="","",SUMIFS(Bills!$K$8:$K$507,Bills!$D$8:$D$507,B98,Bills!$L$8:$L$507,"&gt;0"))</f>
        <v/>
      </c>
      <c r="M98" s="48" t="str">
        <f aca="false">IF(B98="","",SUMIFS(Bills!$K$8:$K$507,Bills!$D$8:$D$507,B98,Bills!$V$8:$V$507,"&lt;="&amp;Setup!$C$9))</f>
        <v/>
      </c>
      <c r="N98" s="49" t="str">
        <f aca="false">IF(B98="","",IF(K98&lt;0,"Advance paid",IF(N(M98)&gt;0,"⚠ MSME deadline",IF(N(L98)&gt;0,"Overdue",IF(K98&gt;0,"Within credit","✔ Clear")))))</f>
        <v/>
      </c>
      <c r="O98" s="50" t="str">
        <f aca="false">IF(B98="","",IF(COUNTIF($B$7:$B$106,B98)&gt;1,"⚠ Name used twice",IF(AND(OR(F98="Micro",F98="Small"),G98=""),"Add Udyam no.","✔")))</f>
        <v/>
      </c>
      <c r="Q98" s="9" t="n">
        <f aca="false">IF(B98="",0,IF(E98="",Setup!$C$7,E98))</f>
        <v>0</v>
      </c>
      <c r="R98" s="9" t="n">
        <f aca="false">IF(B98="",0,SUMIFS(Payments!$J$8:$J$507,Payments!$C$8:$C$507,B98))</f>
        <v>0</v>
      </c>
      <c r="S98" s="9" t="str">
        <f aca="false">IF(OR(F98="Micro",F98="Small"),IF(H98="Yes",MIN(45,Q98),15),"")</f>
        <v/>
      </c>
    </row>
    <row r="99" customFormat="false" ht="15" hidden="false" customHeight="false" outlineLevel="0" collapsed="false">
      <c r="A99" s="40" t="str">
        <f aca="false">IF(B99="","",ROW()-6)</f>
        <v/>
      </c>
      <c r="B99" s="74"/>
      <c r="C99" s="75"/>
      <c r="D99" s="76"/>
      <c r="E99" s="77"/>
      <c r="F99" s="78"/>
      <c r="G99" s="75"/>
      <c r="H99" s="78"/>
      <c r="I99" s="46" t="str">
        <f aca="false">IF(B99="","",SUMIFS(Bills!$E$8:$E$507,Bills!$D$8:$D$507,B99))</f>
        <v/>
      </c>
      <c r="J99" s="46" t="str">
        <f aca="false">IF(B99="","",SUMIFS(Payments!$D$8:$D$507,Payments!$C$8:$C$507,B99))</f>
        <v/>
      </c>
      <c r="K99" s="47" t="str">
        <f aca="false">IF(B99="","",SUMIFS(Bills!$K$8:$K$507,Bills!$D$8:$D$507,B99)-MAX(0,R99-SUMIFS(Bills!$P$8:$P$507,Bills!$D$8:$D$507,B99)))</f>
        <v/>
      </c>
      <c r="L99" s="48" t="str">
        <f aca="false">IF(B99="","",SUMIFS(Bills!$K$8:$K$507,Bills!$D$8:$D$507,B99,Bills!$L$8:$L$507,"&gt;0"))</f>
        <v/>
      </c>
      <c r="M99" s="48" t="str">
        <f aca="false">IF(B99="","",SUMIFS(Bills!$K$8:$K$507,Bills!$D$8:$D$507,B99,Bills!$V$8:$V$507,"&lt;="&amp;Setup!$C$9))</f>
        <v/>
      </c>
      <c r="N99" s="49" t="str">
        <f aca="false">IF(B99="","",IF(K99&lt;0,"Advance paid",IF(N(M99)&gt;0,"⚠ MSME deadline",IF(N(L99)&gt;0,"Overdue",IF(K99&gt;0,"Within credit","✔ Clear")))))</f>
        <v/>
      </c>
      <c r="O99" s="50" t="str">
        <f aca="false">IF(B99="","",IF(COUNTIF($B$7:$B$106,B99)&gt;1,"⚠ Name used twice",IF(AND(OR(F99="Micro",F99="Small"),G99=""),"Add Udyam no.","✔")))</f>
        <v/>
      </c>
      <c r="Q99" s="9" t="n">
        <f aca="false">IF(B99="",0,IF(E99="",Setup!$C$7,E99))</f>
        <v>0</v>
      </c>
      <c r="R99" s="9" t="n">
        <f aca="false">IF(B99="",0,SUMIFS(Payments!$J$8:$J$507,Payments!$C$8:$C$507,B99))</f>
        <v>0</v>
      </c>
      <c r="S99" s="9" t="str">
        <f aca="false">IF(OR(F99="Micro",F99="Small"),IF(H99="Yes",MIN(45,Q99),15),"")</f>
        <v/>
      </c>
    </row>
    <row r="100" customFormat="false" ht="15" hidden="false" customHeight="false" outlineLevel="0" collapsed="false">
      <c r="A100" s="40" t="str">
        <f aca="false">IF(B100="","",ROW()-6)</f>
        <v/>
      </c>
      <c r="B100" s="74"/>
      <c r="C100" s="75"/>
      <c r="D100" s="76"/>
      <c r="E100" s="77"/>
      <c r="F100" s="78"/>
      <c r="G100" s="75"/>
      <c r="H100" s="78"/>
      <c r="I100" s="46" t="str">
        <f aca="false">IF(B100="","",SUMIFS(Bills!$E$8:$E$507,Bills!$D$8:$D$507,B100))</f>
        <v/>
      </c>
      <c r="J100" s="46" t="str">
        <f aca="false">IF(B100="","",SUMIFS(Payments!$D$8:$D$507,Payments!$C$8:$C$507,B100))</f>
        <v/>
      </c>
      <c r="K100" s="47" t="str">
        <f aca="false">IF(B100="","",SUMIFS(Bills!$K$8:$K$507,Bills!$D$8:$D$507,B100)-MAX(0,R100-SUMIFS(Bills!$P$8:$P$507,Bills!$D$8:$D$507,B100)))</f>
        <v/>
      </c>
      <c r="L100" s="48" t="str">
        <f aca="false">IF(B100="","",SUMIFS(Bills!$K$8:$K$507,Bills!$D$8:$D$507,B100,Bills!$L$8:$L$507,"&gt;0"))</f>
        <v/>
      </c>
      <c r="M100" s="48" t="str">
        <f aca="false">IF(B100="","",SUMIFS(Bills!$K$8:$K$507,Bills!$D$8:$D$507,B100,Bills!$V$8:$V$507,"&lt;="&amp;Setup!$C$9))</f>
        <v/>
      </c>
      <c r="N100" s="49" t="str">
        <f aca="false">IF(B100="","",IF(K100&lt;0,"Advance paid",IF(N(M100)&gt;0,"⚠ MSME deadline",IF(N(L100)&gt;0,"Overdue",IF(K100&gt;0,"Within credit","✔ Clear")))))</f>
        <v/>
      </c>
      <c r="O100" s="50" t="str">
        <f aca="false">IF(B100="","",IF(COUNTIF($B$7:$B$106,B100)&gt;1,"⚠ Name used twice",IF(AND(OR(F100="Micro",F100="Small"),G100=""),"Add Udyam no.","✔")))</f>
        <v/>
      </c>
      <c r="Q100" s="9" t="n">
        <f aca="false">IF(B100="",0,IF(E100="",Setup!$C$7,E100))</f>
        <v>0</v>
      </c>
      <c r="R100" s="9" t="n">
        <f aca="false">IF(B100="",0,SUMIFS(Payments!$J$8:$J$507,Payments!$C$8:$C$507,B100))</f>
        <v>0</v>
      </c>
      <c r="S100" s="9" t="str">
        <f aca="false">IF(OR(F100="Micro",F100="Small"),IF(H100="Yes",MIN(45,Q100),15),"")</f>
        <v/>
      </c>
    </row>
    <row r="101" customFormat="false" ht="15" hidden="false" customHeight="false" outlineLevel="0" collapsed="false">
      <c r="A101" s="40" t="str">
        <f aca="false">IF(B101="","",ROW()-6)</f>
        <v/>
      </c>
      <c r="B101" s="74"/>
      <c r="C101" s="75"/>
      <c r="D101" s="76"/>
      <c r="E101" s="77"/>
      <c r="F101" s="78"/>
      <c r="G101" s="75"/>
      <c r="H101" s="78"/>
      <c r="I101" s="46" t="str">
        <f aca="false">IF(B101="","",SUMIFS(Bills!$E$8:$E$507,Bills!$D$8:$D$507,B101))</f>
        <v/>
      </c>
      <c r="J101" s="46" t="str">
        <f aca="false">IF(B101="","",SUMIFS(Payments!$D$8:$D$507,Payments!$C$8:$C$507,B101))</f>
        <v/>
      </c>
      <c r="K101" s="47" t="str">
        <f aca="false">IF(B101="","",SUMIFS(Bills!$K$8:$K$507,Bills!$D$8:$D$507,B101)-MAX(0,R101-SUMIFS(Bills!$P$8:$P$507,Bills!$D$8:$D$507,B101)))</f>
        <v/>
      </c>
      <c r="L101" s="48" t="str">
        <f aca="false">IF(B101="","",SUMIFS(Bills!$K$8:$K$507,Bills!$D$8:$D$507,B101,Bills!$L$8:$L$507,"&gt;0"))</f>
        <v/>
      </c>
      <c r="M101" s="48" t="str">
        <f aca="false">IF(B101="","",SUMIFS(Bills!$K$8:$K$507,Bills!$D$8:$D$507,B101,Bills!$V$8:$V$507,"&lt;="&amp;Setup!$C$9))</f>
        <v/>
      </c>
      <c r="N101" s="49" t="str">
        <f aca="false">IF(B101="","",IF(K101&lt;0,"Advance paid",IF(N(M101)&gt;0,"⚠ MSME deadline",IF(N(L101)&gt;0,"Overdue",IF(K101&gt;0,"Within credit","✔ Clear")))))</f>
        <v/>
      </c>
      <c r="O101" s="50" t="str">
        <f aca="false">IF(B101="","",IF(COUNTIF($B$7:$B$106,B101)&gt;1,"⚠ Name used twice",IF(AND(OR(F101="Micro",F101="Small"),G101=""),"Add Udyam no.","✔")))</f>
        <v/>
      </c>
      <c r="Q101" s="9" t="n">
        <f aca="false">IF(B101="",0,IF(E101="",Setup!$C$7,E101))</f>
        <v>0</v>
      </c>
      <c r="R101" s="9" t="n">
        <f aca="false">IF(B101="",0,SUMIFS(Payments!$J$8:$J$507,Payments!$C$8:$C$507,B101))</f>
        <v>0</v>
      </c>
      <c r="S101" s="9" t="str">
        <f aca="false">IF(OR(F101="Micro",F101="Small"),IF(H101="Yes",MIN(45,Q101),15),"")</f>
        <v/>
      </c>
    </row>
    <row r="102" customFormat="false" ht="15" hidden="false" customHeight="false" outlineLevel="0" collapsed="false">
      <c r="A102" s="40" t="str">
        <f aca="false">IF(B102="","",ROW()-6)</f>
        <v/>
      </c>
      <c r="B102" s="74"/>
      <c r="C102" s="75"/>
      <c r="D102" s="76"/>
      <c r="E102" s="77"/>
      <c r="F102" s="78"/>
      <c r="G102" s="75"/>
      <c r="H102" s="78"/>
      <c r="I102" s="46" t="str">
        <f aca="false">IF(B102="","",SUMIFS(Bills!$E$8:$E$507,Bills!$D$8:$D$507,B102))</f>
        <v/>
      </c>
      <c r="J102" s="46" t="str">
        <f aca="false">IF(B102="","",SUMIFS(Payments!$D$8:$D$507,Payments!$C$8:$C$507,B102))</f>
        <v/>
      </c>
      <c r="K102" s="47" t="str">
        <f aca="false">IF(B102="","",SUMIFS(Bills!$K$8:$K$507,Bills!$D$8:$D$507,B102)-MAX(0,R102-SUMIFS(Bills!$P$8:$P$507,Bills!$D$8:$D$507,B102)))</f>
        <v/>
      </c>
      <c r="L102" s="48" t="str">
        <f aca="false">IF(B102="","",SUMIFS(Bills!$K$8:$K$507,Bills!$D$8:$D$507,B102,Bills!$L$8:$L$507,"&gt;0"))</f>
        <v/>
      </c>
      <c r="M102" s="48" t="str">
        <f aca="false">IF(B102="","",SUMIFS(Bills!$K$8:$K$507,Bills!$D$8:$D$507,B102,Bills!$V$8:$V$507,"&lt;="&amp;Setup!$C$9))</f>
        <v/>
      </c>
      <c r="N102" s="49" t="str">
        <f aca="false">IF(B102="","",IF(K102&lt;0,"Advance paid",IF(N(M102)&gt;0,"⚠ MSME deadline",IF(N(L102)&gt;0,"Overdue",IF(K102&gt;0,"Within credit","✔ Clear")))))</f>
        <v/>
      </c>
      <c r="O102" s="50" t="str">
        <f aca="false">IF(B102="","",IF(COUNTIF($B$7:$B$106,B102)&gt;1,"⚠ Name used twice",IF(AND(OR(F102="Micro",F102="Small"),G102=""),"Add Udyam no.","✔")))</f>
        <v/>
      </c>
      <c r="Q102" s="9" t="n">
        <f aca="false">IF(B102="",0,IF(E102="",Setup!$C$7,E102))</f>
        <v>0</v>
      </c>
      <c r="R102" s="9" t="n">
        <f aca="false">IF(B102="",0,SUMIFS(Payments!$J$8:$J$507,Payments!$C$8:$C$507,B102))</f>
        <v>0</v>
      </c>
      <c r="S102" s="9" t="str">
        <f aca="false">IF(OR(F102="Micro",F102="Small"),IF(H102="Yes",MIN(45,Q102),15),"")</f>
        <v/>
      </c>
    </row>
    <row r="103" customFormat="false" ht="15" hidden="false" customHeight="false" outlineLevel="0" collapsed="false">
      <c r="A103" s="40" t="str">
        <f aca="false">IF(B103="","",ROW()-6)</f>
        <v/>
      </c>
      <c r="B103" s="74"/>
      <c r="C103" s="75"/>
      <c r="D103" s="76"/>
      <c r="E103" s="77"/>
      <c r="F103" s="78"/>
      <c r="G103" s="75"/>
      <c r="H103" s="78"/>
      <c r="I103" s="46" t="str">
        <f aca="false">IF(B103="","",SUMIFS(Bills!$E$8:$E$507,Bills!$D$8:$D$507,B103))</f>
        <v/>
      </c>
      <c r="J103" s="46" t="str">
        <f aca="false">IF(B103="","",SUMIFS(Payments!$D$8:$D$507,Payments!$C$8:$C$507,B103))</f>
        <v/>
      </c>
      <c r="K103" s="47" t="str">
        <f aca="false">IF(B103="","",SUMIFS(Bills!$K$8:$K$507,Bills!$D$8:$D$507,B103)-MAX(0,R103-SUMIFS(Bills!$P$8:$P$507,Bills!$D$8:$D$507,B103)))</f>
        <v/>
      </c>
      <c r="L103" s="48" t="str">
        <f aca="false">IF(B103="","",SUMIFS(Bills!$K$8:$K$507,Bills!$D$8:$D$507,B103,Bills!$L$8:$L$507,"&gt;0"))</f>
        <v/>
      </c>
      <c r="M103" s="48" t="str">
        <f aca="false">IF(B103="","",SUMIFS(Bills!$K$8:$K$507,Bills!$D$8:$D$507,B103,Bills!$V$8:$V$507,"&lt;="&amp;Setup!$C$9))</f>
        <v/>
      </c>
      <c r="N103" s="49" t="str">
        <f aca="false">IF(B103="","",IF(K103&lt;0,"Advance paid",IF(N(M103)&gt;0,"⚠ MSME deadline",IF(N(L103)&gt;0,"Overdue",IF(K103&gt;0,"Within credit","✔ Clear")))))</f>
        <v/>
      </c>
      <c r="O103" s="50" t="str">
        <f aca="false">IF(B103="","",IF(COUNTIF($B$7:$B$106,B103)&gt;1,"⚠ Name used twice",IF(AND(OR(F103="Micro",F103="Small"),G103=""),"Add Udyam no.","✔")))</f>
        <v/>
      </c>
      <c r="Q103" s="9" t="n">
        <f aca="false">IF(B103="",0,IF(E103="",Setup!$C$7,E103))</f>
        <v>0</v>
      </c>
      <c r="R103" s="9" t="n">
        <f aca="false">IF(B103="",0,SUMIFS(Payments!$J$8:$J$507,Payments!$C$8:$C$507,B103))</f>
        <v>0</v>
      </c>
      <c r="S103" s="9" t="str">
        <f aca="false">IF(OR(F103="Micro",F103="Small"),IF(H103="Yes",MIN(45,Q103),15),"")</f>
        <v/>
      </c>
    </row>
    <row r="104" customFormat="false" ht="15" hidden="false" customHeight="false" outlineLevel="0" collapsed="false">
      <c r="A104" s="40" t="str">
        <f aca="false">IF(B104="","",ROW()-6)</f>
        <v/>
      </c>
      <c r="B104" s="74"/>
      <c r="C104" s="75"/>
      <c r="D104" s="76"/>
      <c r="E104" s="77"/>
      <c r="F104" s="78"/>
      <c r="G104" s="75"/>
      <c r="H104" s="78"/>
      <c r="I104" s="46" t="str">
        <f aca="false">IF(B104="","",SUMIFS(Bills!$E$8:$E$507,Bills!$D$8:$D$507,B104))</f>
        <v/>
      </c>
      <c r="J104" s="46" t="str">
        <f aca="false">IF(B104="","",SUMIFS(Payments!$D$8:$D$507,Payments!$C$8:$C$507,B104))</f>
        <v/>
      </c>
      <c r="K104" s="47" t="str">
        <f aca="false">IF(B104="","",SUMIFS(Bills!$K$8:$K$507,Bills!$D$8:$D$507,B104)-MAX(0,R104-SUMIFS(Bills!$P$8:$P$507,Bills!$D$8:$D$507,B104)))</f>
        <v/>
      </c>
      <c r="L104" s="48" t="str">
        <f aca="false">IF(B104="","",SUMIFS(Bills!$K$8:$K$507,Bills!$D$8:$D$507,B104,Bills!$L$8:$L$507,"&gt;0"))</f>
        <v/>
      </c>
      <c r="M104" s="48" t="str">
        <f aca="false">IF(B104="","",SUMIFS(Bills!$K$8:$K$507,Bills!$D$8:$D$507,B104,Bills!$V$8:$V$507,"&lt;="&amp;Setup!$C$9))</f>
        <v/>
      </c>
      <c r="N104" s="49" t="str">
        <f aca="false">IF(B104="","",IF(K104&lt;0,"Advance paid",IF(N(M104)&gt;0,"⚠ MSME deadline",IF(N(L104)&gt;0,"Overdue",IF(K104&gt;0,"Within credit","✔ Clear")))))</f>
        <v/>
      </c>
      <c r="O104" s="50" t="str">
        <f aca="false">IF(B104="","",IF(COUNTIF($B$7:$B$106,B104)&gt;1,"⚠ Name used twice",IF(AND(OR(F104="Micro",F104="Small"),G104=""),"Add Udyam no.","✔")))</f>
        <v/>
      </c>
      <c r="Q104" s="9" t="n">
        <f aca="false">IF(B104="",0,IF(E104="",Setup!$C$7,E104))</f>
        <v>0</v>
      </c>
      <c r="R104" s="9" t="n">
        <f aca="false">IF(B104="",0,SUMIFS(Payments!$J$8:$J$507,Payments!$C$8:$C$507,B104))</f>
        <v>0</v>
      </c>
      <c r="S104" s="9" t="str">
        <f aca="false">IF(OR(F104="Micro",F104="Small"),IF(H104="Yes",MIN(45,Q104),15),"")</f>
        <v/>
      </c>
    </row>
    <row r="105" customFormat="false" ht="15" hidden="false" customHeight="false" outlineLevel="0" collapsed="false">
      <c r="A105" s="40" t="str">
        <f aca="false">IF(B105="","",ROW()-6)</f>
        <v/>
      </c>
      <c r="B105" s="74"/>
      <c r="C105" s="75"/>
      <c r="D105" s="76"/>
      <c r="E105" s="77"/>
      <c r="F105" s="78"/>
      <c r="G105" s="75"/>
      <c r="H105" s="78"/>
      <c r="I105" s="46" t="str">
        <f aca="false">IF(B105="","",SUMIFS(Bills!$E$8:$E$507,Bills!$D$8:$D$507,B105))</f>
        <v/>
      </c>
      <c r="J105" s="46" t="str">
        <f aca="false">IF(B105="","",SUMIFS(Payments!$D$8:$D$507,Payments!$C$8:$C$507,B105))</f>
        <v/>
      </c>
      <c r="K105" s="47" t="str">
        <f aca="false">IF(B105="","",SUMIFS(Bills!$K$8:$K$507,Bills!$D$8:$D$507,B105)-MAX(0,R105-SUMIFS(Bills!$P$8:$P$507,Bills!$D$8:$D$507,B105)))</f>
        <v/>
      </c>
      <c r="L105" s="48" t="str">
        <f aca="false">IF(B105="","",SUMIFS(Bills!$K$8:$K$507,Bills!$D$8:$D$507,B105,Bills!$L$8:$L$507,"&gt;0"))</f>
        <v/>
      </c>
      <c r="M105" s="48" t="str">
        <f aca="false">IF(B105="","",SUMIFS(Bills!$K$8:$K$507,Bills!$D$8:$D$507,B105,Bills!$V$8:$V$507,"&lt;="&amp;Setup!$C$9))</f>
        <v/>
      </c>
      <c r="N105" s="49" t="str">
        <f aca="false">IF(B105="","",IF(K105&lt;0,"Advance paid",IF(N(M105)&gt;0,"⚠ MSME deadline",IF(N(L105)&gt;0,"Overdue",IF(K105&gt;0,"Within credit","✔ Clear")))))</f>
        <v/>
      </c>
      <c r="O105" s="50" t="str">
        <f aca="false">IF(B105="","",IF(COUNTIF($B$7:$B$106,B105)&gt;1,"⚠ Name used twice",IF(AND(OR(F105="Micro",F105="Small"),G105=""),"Add Udyam no.","✔")))</f>
        <v/>
      </c>
      <c r="Q105" s="9" t="n">
        <f aca="false">IF(B105="",0,IF(E105="",Setup!$C$7,E105))</f>
        <v>0</v>
      </c>
      <c r="R105" s="9" t="n">
        <f aca="false">IF(B105="",0,SUMIFS(Payments!$J$8:$J$507,Payments!$C$8:$C$507,B105))</f>
        <v>0</v>
      </c>
      <c r="S105" s="9" t="str">
        <f aca="false">IF(OR(F105="Micro",F105="Small"),IF(H105="Yes",MIN(45,Q105),15),"")</f>
        <v/>
      </c>
    </row>
    <row r="106" customFormat="false" ht="15" hidden="false" customHeight="false" outlineLevel="0" collapsed="false">
      <c r="A106" s="40" t="str">
        <f aca="false">IF(B106="","",ROW()-6)</f>
        <v/>
      </c>
      <c r="B106" s="74"/>
      <c r="C106" s="75"/>
      <c r="D106" s="76"/>
      <c r="E106" s="77"/>
      <c r="F106" s="78"/>
      <c r="G106" s="75"/>
      <c r="H106" s="78"/>
      <c r="I106" s="46" t="str">
        <f aca="false">IF(B106="","",SUMIFS(Bills!$E$8:$E$507,Bills!$D$8:$D$507,B106))</f>
        <v/>
      </c>
      <c r="J106" s="46" t="str">
        <f aca="false">IF(B106="","",SUMIFS(Payments!$D$8:$D$507,Payments!$C$8:$C$507,B106))</f>
        <v/>
      </c>
      <c r="K106" s="47" t="str">
        <f aca="false">IF(B106="","",SUMIFS(Bills!$K$8:$K$507,Bills!$D$8:$D$507,B106)-MAX(0,R106-SUMIFS(Bills!$P$8:$P$507,Bills!$D$8:$D$507,B106)))</f>
        <v/>
      </c>
      <c r="L106" s="48" t="str">
        <f aca="false">IF(B106="","",SUMIFS(Bills!$K$8:$K$507,Bills!$D$8:$D$507,B106,Bills!$L$8:$L$507,"&gt;0"))</f>
        <v/>
      </c>
      <c r="M106" s="48" t="str">
        <f aca="false">IF(B106="","",SUMIFS(Bills!$K$8:$K$507,Bills!$D$8:$D$507,B106,Bills!$V$8:$V$507,"&lt;="&amp;Setup!$C$9))</f>
        <v/>
      </c>
      <c r="N106" s="49" t="str">
        <f aca="false">IF(B106="","",IF(K106&lt;0,"Advance paid",IF(N(M106)&gt;0,"⚠ MSME deadline",IF(N(L106)&gt;0,"Overdue",IF(K106&gt;0,"Within credit","✔ Clear")))))</f>
        <v/>
      </c>
      <c r="O106" s="50" t="str">
        <f aca="false">IF(B106="","",IF(COUNTIF($B$7:$B$106,B106)&gt;1,"⚠ Name used twice",IF(AND(OR(F106="Micro",F106="Small"),G106=""),"Add Udyam no.","✔")))</f>
        <v/>
      </c>
      <c r="Q106" s="9" t="n">
        <f aca="false">IF(B106="",0,IF(E106="",Setup!$C$7,E106))</f>
        <v>0</v>
      </c>
      <c r="R106" s="9" t="n">
        <f aca="false">IF(B106="",0,SUMIFS(Payments!$J$8:$J$507,Payments!$C$8:$C$507,B106))</f>
        <v>0</v>
      </c>
      <c r="S106" s="9" t="str">
        <f aca="false">IF(OR(F106="Micro",F106="Small"),IF(H106="Yes",MIN(45,Q106),15),"")</f>
        <v/>
      </c>
    </row>
  </sheetData>
  <sheetProtection sheet="1" objects="1" scenarios="1" formatColumns="0" formatRows="0" algorithmName="SHA-512" hashValue="/oeFMxSY/cii7iv1NHtD1Mok7r/xg3nLy7yQr/jGgGUF5lvOGEUy443JQXk5ho2D+scXaHwVo1VMhXX0swIC6A==" saltValue="kvTrUzwVwoA3A4vfOuTEQw==" spinCount="100000"/>
  <mergeCells count="2">
    <mergeCell ref="A2:O2"/>
    <mergeCell ref="A3:O3"/>
  </mergeCells>
  <conditionalFormatting sqref="N7:O106">
    <cfRule type="expression" priority="2" aboveAverage="0" equalAverage="0" bottom="0" percent="0" rank="0" text="" dxfId="0">
      <formula>LEFT(N7,1)="⚠"</formula>
    </cfRule>
  </conditionalFormatting>
  <conditionalFormatting sqref="N7:N106">
    <cfRule type="expression" priority="3" aboveAverage="0" equalAverage="0" bottom="0" percent="0" rank="0" text="" dxfId="1">
      <formula>$N7="Overdue"</formula>
    </cfRule>
  </conditionalFormatting>
  <dataValidations count="2">
    <dataValidation allowBlank="true" errorStyle="stop" operator="between" showDropDown="false" showErrorMessage="false" showInputMessage="false" sqref="F7:F106" type="list">
      <formula1>Lists!$C$1:$C$4</formula1>
      <formula2>0</formula2>
    </dataValidation>
    <dataValidation allowBlank="true" errorStyle="stop" operator="between" showDropDown="false" showErrorMessage="false" showInputMessage="false" sqref="H7:H106" type="list">
      <formula1>Lists!$D$1:$D$2</formula1>
      <formula2>0</formula2>
    </dataValidation>
  </dataValidations>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true"/>
  </sheetPr>
  <dimension ref="A1:V5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4" ySplit="7" topLeftCell="E8" activePane="bottomRight" state="frozen"/>
      <selection pane="topLeft" activeCell="A1" activeCellId="0" sqref="A1"/>
      <selection pane="topRight" activeCell="E1" activeCellId="0" sqref="E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
    <col collapsed="false" customWidth="true" hidden="false" outlineLevel="0" max="3" min="3" style="0" width="13"/>
    <col collapsed="false" customWidth="true" hidden="false" outlineLevel="0" max="4" min="4" style="0" width="28"/>
    <col collapsed="false" customWidth="true" hidden="false" outlineLevel="0" max="5" min="5" style="0" width="13"/>
    <col collapsed="false" customWidth="true" hidden="false" outlineLevel="0" max="6" min="6" style="0" width="11"/>
    <col collapsed="false" customWidth="true" hidden="false" outlineLevel="0" max="7" min="7" style="0" width="14"/>
    <col collapsed="false" customWidth="true" hidden="false" outlineLevel="0" max="8" min="8" style="0" width="10"/>
    <col collapsed="false" customWidth="true" hidden="false" outlineLevel="0" max="9" min="9" style="0" width="13"/>
    <col collapsed="false" customWidth="true" hidden="false" outlineLevel="0" max="10" min="10" style="0" width="15"/>
    <col collapsed="false" customWidth="true" hidden="false" outlineLevel="0" max="11" min="11" style="0" width="13"/>
    <col collapsed="false" customWidth="true" hidden="false" outlineLevel="0" max="12" min="12" style="0" width="9"/>
    <col collapsed="false" customWidth="true" hidden="false" outlineLevel="0" max="13" min="13" style="0" width="11"/>
    <col collapsed="false" customWidth="true" hidden="false" outlineLevel="0" max="15" min="14" style="0" width="18"/>
    <col collapsed="false" customWidth="true" hidden="true" outlineLevel="0" max="19" min="16" style="0" width="13"/>
    <col collapsed="false" customWidth="true" hidden="true" outlineLevel="0" max="22" min="21" style="0" width="13"/>
  </cols>
  <sheetData>
    <row r="1" customFormat="false" ht="15" hidden="false" customHeight="false" outlineLevel="0" collapsed="false">
      <c r="A1" s="20" t="s">
        <v>27</v>
      </c>
    </row>
    <row r="2" customFormat="false" ht="30" hidden="false" customHeight="true" outlineLevel="0" collapsed="false">
      <c r="A2" s="37" t="s">
        <v>104</v>
      </c>
      <c r="B2" s="37"/>
      <c r="C2" s="37"/>
      <c r="D2" s="37"/>
      <c r="E2" s="37"/>
      <c r="F2" s="37"/>
      <c r="G2" s="37"/>
      <c r="H2" s="37"/>
      <c r="I2" s="37"/>
      <c r="J2" s="37"/>
      <c r="K2" s="37"/>
      <c r="L2" s="37"/>
      <c r="M2" s="37"/>
      <c r="N2" s="37"/>
      <c r="O2" s="37"/>
    </row>
    <row r="3" customFormat="false" ht="30" hidden="false" customHeight="true" outlineLevel="0" collapsed="false">
      <c r="A3" s="36" t="s">
        <v>105</v>
      </c>
      <c r="B3" s="36"/>
      <c r="C3" s="36"/>
      <c r="D3" s="36"/>
      <c r="E3" s="36"/>
      <c r="F3" s="36"/>
      <c r="G3" s="36"/>
      <c r="H3" s="36"/>
      <c r="I3" s="36"/>
      <c r="J3" s="36"/>
      <c r="K3" s="36"/>
      <c r="L3" s="36"/>
      <c r="M3" s="36"/>
      <c r="N3" s="36"/>
      <c r="O3" s="36"/>
    </row>
    <row r="7" customFormat="false" ht="45.75" hidden="false" customHeight="true" outlineLevel="0" collapsed="false">
      <c r="A7" s="38" t="s">
        <v>64</v>
      </c>
      <c r="B7" s="39" t="s">
        <v>106</v>
      </c>
      <c r="C7" s="39" t="s">
        <v>107</v>
      </c>
      <c r="D7" s="39" t="s">
        <v>108</v>
      </c>
      <c r="E7" s="39" t="s">
        <v>109</v>
      </c>
      <c r="F7" s="39" t="s">
        <v>110</v>
      </c>
      <c r="G7" s="39" t="s">
        <v>111</v>
      </c>
      <c r="H7" s="38" t="s">
        <v>112</v>
      </c>
      <c r="I7" s="38" t="s">
        <v>113</v>
      </c>
      <c r="J7" s="38" t="s">
        <v>114</v>
      </c>
      <c r="K7" s="38" t="s">
        <v>115</v>
      </c>
      <c r="L7" s="38" t="s">
        <v>116</v>
      </c>
      <c r="M7" s="38" t="s">
        <v>117</v>
      </c>
      <c r="N7" s="38" t="s">
        <v>75</v>
      </c>
      <c r="O7" s="38" t="s">
        <v>76</v>
      </c>
    </row>
    <row r="8" customFormat="false" ht="15" hidden="false" customHeight="false" outlineLevel="0" collapsed="false">
      <c r="A8" s="40" t="n">
        <f aca="false">IF(D8="","",ROW()-7)</f>
        <v>1</v>
      </c>
      <c r="B8" s="79" t="n">
        <v>46193</v>
      </c>
      <c r="C8" s="75" t="s">
        <v>118</v>
      </c>
      <c r="D8" s="76" t="s">
        <v>93</v>
      </c>
      <c r="E8" s="80" t="n">
        <v>42480</v>
      </c>
      <c r="F8" s="79"/>
      <c r="G8" s="76"/>
      <c r="H8" s="54" t="n">
        <f aca="false">IF(OR(D8="",B8=""),"",IF(F8&lt;&gt;"",F8,B8+IFERROR(INDEX(Suppliers!$Q$7:$Q$106,MATCH(D8,Suppliers!$B$7:$B$106,0)),Setup!$C$7)))</f>
        <v>46223</v>
      </c>
      <c r="I8" s="46" t="n">
        <f aca="false">IF(OR(D8="",C8=""),IF(D8="","",0),SUMIFS(Payments!$D$8:$D$507,Payments!$C$8:$C$507,D8,Payments!$F$8:$F$507,C8))</f>
        <v>0</v>
      </c>
      <c r="J8" s="46" t="n">
        <f aca="false">IF(D8="","",MIN(P8,MAX(0,R8-Q8)))</f>
        <v>42480</v>
      </c>
      <c r="K8" s="47" t="n">
        <f aca="false">IF(D8="","",P8-J8)</f>
        <v>0</v>
      </c>
      <c r="L8" s="55" t="str">
        <f aca="false">IF(OR(D8="",N(K8)&lt;=0,H8=""),"",MAX(0,Setup!$C$11-H8))</f>
        <v/>
      </c>
      <c r="M8" s="54" t="str">
        <f aca="false">IF(OR(D8="",B8=""),"",IF(IFERROR(INDEX(Suppliers!$S$7:$S$106,MATCH(D8,Suppliers!$B$7:$B$106,0)),"")="","–",B8+IFERROR(INDEX(Suppliers!$S$7:$S$106,MATCH(D8,Suppliers!$B$7:$B$106,0)),"")))</f>
        <v>–</v>
      </c>
      <c r="N8" s="56" t="str">
        <f aca="false">IF(D8="","",IF(N(K8)&lt;=0,"Paid",IF(AND(ISNUMBER(M8),Setup!$C$11&gt;M8),"⚠ MSME late",IF(N(L8)&gt;0,"Overdue",IF(N(V8)&lt;=Setup!$C$9,"⚠ MSME due soon",IF(K8&lt;E8,"Part paid","Not due"))))))</f>
        <v>Paid</v>
      </c>
      <c r="O8" s="50" t="str">
        <f aca="false">IF(AND(D8="",B8="",C8="",E8=""),"",IF(D8="","⚠ Pick supplier",IF(ISNA(MATCH(D8,Suppliers!$B$7:$B$106,0)),"⚠ Supplier not in list",IF(B8="","⚠ Enter bill date",IF(N(E8)&lt;=0,"⚠ Enter amount",IF(AND(C8&lt;&gt;"",COUNTIFS($D$8:$D$507,D8,$C$8:$C$507,C8)&gt;1),"⚠ Bill no. used twice",IF(N(I8)&gt;N(E8),"⚠ Paid more than bill","✔")))))))</f>
        <v>✔</v>
      </c>
      <c r="P8" s="9" t="n">
        <f aca="false">IF(D8="",0,MAX(0,N(E8)-N(I8)))</f>
        <v>42480</v>
      </c>
      <c r="Q8" s="9" t="n">
        <f aca="false">IF(D8="",0,SUMIFS($P$8:$P$507,$D$8:$D$507,D8,$B$8:$B$507,"&lt;"&amp;B8)+0)</f>
        <v>0</v>
      </c>
      <c r="R8" s="9" t="n">
        <f aca="false">IF(D8="",0,IFERROR(INDEX(Suppliers!$R$7:$R$106,MATCH(D8,Suppliers!$B$7:$B$106,0)),0))</f>
        <v>42480</v>
      </c>
      <c r="S8" s="9" t="str">
        <f aca="false">IF(N(K8)&gt;0,IF(H8="",99999,MIN(H8,IF(ISNUMBER(M8),M8,H8)))+ROW()/100000,"")</f>
        <v/>
      </c>
      <c r="U8" s="9" t="n">
        <f aca="false">IF(N(K8)&gt;0,N(L8),0)</f>
        <v>0</v>
      </c>
      <c r="V8" s="9" t="n">
        <f aca="false">IF(AND(N(K8)&gt;0,ISNUMBER(M8)),M8-Setup!$C$11,99999)</f>
        <v>99999</v>
      </c>
    </row>
    <row r="9" customFormat="false" ht="15" hidden="false" customHeight="false" outlineLevel="0" collapsed="false">
      <c r="A9" s="40" t="n">
        <f aca="false">IF(D9="","",ROW()-7)</f>
        <v>2</v>
      </c>
      <c r="B9" s="79" t="n">
        <v>46218</v>
      </c>
      <c r="C9" s="75" t="s">
        <v>119</v>
      </c>
      <c r="D9" s="76" t="s">
        <v>77</v>
      </c>
      <c r="E9" s="80" t="n">
        <v>29701</v>
      </c>
      <c r="F9" s="79"/>
      <c r="G9" s="76"/>
      <c r="H9" s="54" t="n">
        <f aca="false">IF(OR(D9="",B9=""),"",IF(F9&lt;&gt;"",F9,B9+IFERROR(INDEX(Suppliers!$Q$7:$Q$106,MATCH(D9,Suppliers!$B$7:$B$106,0)),Setup!$C$7)))</f>
        <v>46248</v>
      </c>
      <c r="I9" s="46" t="n">
        <f aca="false">IF(OR(D9="",C9=""),IF(D9="","",0),SUMIFS(Payments!$D$8:$D$507,Payments!$C$8:$C$507,D9,Payments!$F$8:$F$507,C9))</f>
        <v>29701</v>
      </c>
      <c r="J9" s="46" t="n">
        <f aca="false">IF(D9="","",MIN(P9,MAX(0,R9-Q9)))</f>
        <v>0</v>
      </c>
      <c r="K9" s="47" t="n">
        <f aca="false">IF(D9="","",P9-J9)</f>
        <v>0</v>
      </c>
      <c r="L9" s="55" t="str">
        <f aca="false">IF(OR(D9="",N(K9)&lt;=0,H9=""),"",MAX(0,Setup!$C$11-H9))</f>
        <v/>
      </c>
      <c r="M9" s="54" t="str">
        <f aca="false">IF(OR(D9="",B9=""),"",IF(IFERROR(INDEX(Suppliers!$S$7:$S$106,MATCH(D9,Suppliers!$B$7:$B$106,0)),"")="","–",B9+IFERROR(INDEX(Suppliers!$S$7:$S$106,MATCH(D9,Suppliers!$B$7:$B$106,0)),"")))</f>
        <v>–</v>
      </c>
      <c r="N9" s="56" t="str">
        <f aca="false">IF(D9="","",IF(N(K9)&lt;=0,"Paid",IF(AND(ISNUMBER(M9),Setup!$C$11&gt;M9),"⚠ MSME late",IF(N(L9)&gt;0,"Overdue",IF(N(V9)&lt;=Setup!$C$9,"⚠ MSME due soon",IF(K9&lt;E9,"Part paid","Not due"))))))</f>
        <v>Paid</v>
      </c>
      <c r="O9" s="50" t="str">
        <f aca="false">IF(AND(D9="",B9="",C9="",E9=""),"",IF(D9="","⚠ Pick supplier",IF(ISNA(MATCH(D9,Suppliers!$B$7:$B$106,0)),"⚠ Supplier not in list",IF(B9="","⚠ Enter bill date",IF(N(E9)&lt;=0,"⚠ Enter amount",IF(AND(C9&lt;&gt;"",COUNTIFS($D$8:$D$507,D9,$C$8:$C$507,C9)&gt;1),"⚠ Bill no. used twice",IF(N(I9)&gt;N(E9),"⚠ Paid more than bill","✔")))))))</f>
        <v>✔</v>
      </c>
      <c r="P9" s="9" t="n">
        <f aca="false">IF(D9="",0,MAX(0,N(E9)-N(I9)))</f>
        <v>0</v>
      </c>
      <c r="Q9" s="9" t="n">
        <f aca="false">IF(D9="",0,SUMIFS($P$8:$P$507,$D$8:$D$507,D9,$B$8:$B$507,"&lt;"&amp;B9)+SUMIFS($P$8:P8,$D$8:D8,D9,$B$8:B8,B9))</f>
        <v>0</v>
      </c>
      <c r="R9" s="9" t="n">
        <f aca="false">IF(D9="",0,IFERROR(INDEX(Suppliers!$R$7:$R$106,MATCH(D9,Suppliers!$B$7:$B$106,0)),0))</f>
        <v>0</v>
      </c>
      <c r="S9" s="9" t="str">
        <f aca="false">IF(N(K9)&gt;0,IF(H9="",99999,MIN(H9,IF(ISNUMBER(M9),M9,H9)))+ROW()/100000,"")</f>
        <v/>
      </c>
      <c r="U9" s="9" t="n">
        <f aca="false">IF(N(K9)&gt;0,N(L9),0)</f>
        <v>0</v>
      </c>
      <c r="V9" s="9" t="n">
        <f aca="false">IF(AND(N(K9)&gt;0,ISNUMBER(M9)),M9-Setup!$C$11,99999)</f>
        <v>99999</v>
      </c>
    </row>
    <row r="10" customFormat="false" ht="15" hidden="false" customHeight="false" outlineLevel="0" collapsed="false">
      <c r="A10" s="40" t="n">
        <f aca="false">IF(D10="","",ROW()-7)</f>
        <v>3</v>
      </c>
      <c r="B10" s="79" t="n">
        <v>46236</v>
      </c>
      <c r="C10" s="75" t="s">
        <v>120</v>
      </c>
      <c r="D10" s="76" t="s">
        <v>82</v>
      </c>
      <c r="E10" s="80" t="n">
        <v>44516</v>
      </c>
      <c r="F10" s="79"/>
      <c r="G10" s="76"/>
      <c r="H10" s="54" t="n">
        <f aca="false">IF(OR(D10="",B10=""),"",IF(F10&lt;&gt;"",F10,B10+IFERROR(INDEX(Suppliers!$Q$7:$Q$106,MATCH(D10,Suppliers!$B$7:$B$106,0)),Setup!$C$7)))</f>
        <v>46281</v>
      </c>
      <c r="I10" s="46" t="n">
        <f aca="false">IF(OR(D10="",C10=""),IF(D10="","",0),SUMIFS(Payments!$D$8:$D$507,Payments!$C$8:$C$507,D10,Payments!$F$8:$F$507,C10))</f>
        <v>44516</v>
      </c>
      <c r="J10" s="46" t="n">
        <f aca="false">IF(D10="","",MIN(P10,MAX(0,R10-Q10)))</f>
        <v>0</v>
      </c>
      <c r="K10" s="47" t="n">
        <f aca="false">IF(D10="","",P10-J10)</f>
        <v>0</v>
      </c>
      <c r="L10" s="55" t="str">
        <f aca="false">IF(OR(D10="",N(K10)&lt;=0,H10=""),"",MAX(0,Setup!$C$11-H10))</f>
        <v/>
      </c>
      <c r="M10" s="54" t="n">
        <f aca="false">IF(OR(D10="",B10=""),"",IF(IFERROR(INDEX(Suppliers!$S$7:$S$106,MATCH(D10,Suppliers!$B$7:$B$106,0)),"")="","–",B10+IFERROR(INDEX(Suppliers!$S$7:$S$106,MATCH(D10,Suppliers!$B$7:$B$106,0)),"")))</f>
        <v>46281</v>
      </c>
      <c r="N10" s="56" t="str">
        <f aca="false">IF(D10="","",IF(N(K10)&lt;=0,"Paid",IF(AND(ISNUMBER(M10),Setup!$C$11&gt;M10),"⚠ MSME late",IF(N(L10)&gt;0,"Overdue",IF(N(V10)&lt;=Setup!$C$9,"⚠ MSME due soon",IF(K10&lt;E10,"Part paid","Not due"))))))</f>
        <v>Paid</v>
      </c>
      <c r="O10" s="50" t="str">
        <f aca="false">IF(AND(D10="",B10="",C10="",E10=""),"",IF(D10="","⚠ Pick supplier",IF(ISNA(MATCH(D10,Suppliers!$B$7:$B$106,0)),"⚠ Supplier not in list",IF(B10="","⚠ Enter bill date",IF(N(E10)&lt;=0,"⚠ Enter amount",IF(AND(C10&lt;&gt;"",COUNTIFS($D$8:$D$507,D10,$C$8:$C$507,C10)&gt;1),"⚠ Bill no. used twice",IF(N(I10)&gt;N(E10),"⚠ Paid more than bill","✔")))))))</f>
        <v>✔</v>
      </c>
      <c r="P10" s="9" t="n">
        <f aca="false">IF(D10="",0,MAX(0,N(E10)-N(I10)))</f>
        <v>0</v>
      </c>
      <c r="Q10" s="9" t="n">
        <f aca="false">IF(D10="",0,SUMIFS($P$8:$P$507,$D$8:$D$507,D10,$B$8:$B$507,"&lt;"&amp;B10)+SUMIFS($P$8:P9,$D$8:D9,D10,$B$8:B9,B10))</f>
        <v>0</v>
      </c>
      <c r="R10" s="9" t="n">
        <f aca="false">IF(D10="",0,IFERROR(INDEX(Suppliers!$R$7:$R$106,MATCH(D10,Suppliers!$B$7:$B$106,0)),0))</f>
        <v>0</v>
      </c>
      <c r="S10" s="9" t="str">
        <f aca="false">IF(N(K10)&gt;0,IF(H10="",99999,MIN(H10,IF(ISNUMBER(M10),M10,H10)))+ROW()/100000,"")</f>
        <v/>
      </c>
      <c r="U10" s="9" t="n">
        <f aca="false">IF(N(K10)&gt;0,N(L10),0)</f>
        <v>0</v>
      </c>
      <c r="V10" s="9" t="n">
        <f aca="false">IF(AND(N(K10)&gt;0,ISNUMBER(M10)),M10-Setup!$C$11,99999)</f>
        <v>99999</v>
      </c>
    </row>
    <row r="11" customFormat="false" ht="15" hidden="false" customHeight="false" outlineLevel="0" collapsed="false">
      <c r="A11" s="40" t="n">
        <f aca="false">IF(D11="","",ROW()-7)</f>
        <v>4</v>
      </c>
      <c r="B11" s="79" t="n">
        <v>46252</v>
      </c>
      <c r="C11" s="75" t="s">
        <v>121</v>
      </c>
      <c r="D11" s="76" t="s">
        <v>87</v>
      </c>
      <c r="E11" s="80" t="n">
        <v>18880</v>
      </c>
      <c r="F11" s="79"/>
      <c r="G11" s="76"/>
      <c r="H11" s="54" t="n">
        <f aca="false">IF(OR(D11="",B11=""),"",IF(F11&lt;&gt;"",F11,B11+IFERROR(INDEX(Suppliers!$Q$7:$Q$106,MATCH(D11,Suppliers!$B$7:$B$106,0)),Setup!$C$7)))</f>
        <v>46273</v>
      </c>
      <c r="I11" s="46" t="n">
        <f aca="false">IF(OR(D11="",C11=""),IF(D11="","",0),SUMIFS(Payments!$D$8:$D$507,Payments!$C$8:$C$507,D11,Payments!$F$8:$F$507,C11))</f>
        <v>0</v>
      </c>
      <c r="J11" s="46" t="n">
        <f aca="false">IF(D11="","",MIN(P11,MAX(0,R11-Q11)))</f>
        <v>10000</v>
      </c>
      <c r="K11" s="47" t="n">
        <f aca="false">IF(D11="","",P11-J11)</f>
        <v>8880</v>
      </c>
      <c r="L11" s="55" t="n">
        <f aca="false">IF(OR(D11="",N(K11)&lt;=0,H11=""),"",MAX(0,Setup!$C$11-H11))</f>
        <v>37</v>
      </c>
      <c r="M11" s="54" t="n">
        <f aca="false">IF(OR(D11="",B11=""),"",IF(IFERROR(INDEX(Suppliers!$S$7:$S$106,MATCH(D11,Suppliers!$B$7:$B$106,0)),"")="","–",B11+IFERROR(INDEX(Suppliers!$S$7:$S$106,MATCH(D11,Suppliers!$B$7:$B$106,0)),"")))</f>
        <v>46267</v>
      </c>
      <c r="N11" s="56" t="str">
        <f aca="false">IF(D11="","",IF(N(K11)&lt;=0,"Paid",IF(AND(ISNUMBER(M11),Setup!$C$11&gt;M11),"⚠ MSME late",IF(N(L11)&gt;0,"Overdue",IF(N(V11)&lt;=Setup!$C$9,"⚠ MSME due soon",IF(K11&lt;E11,"Part paid","Not due"))))))</f>
        <v>⚠ MSME late</v>
      </c>
      <c r="O11" s="50" t="str">
        <f aca="false">IF(AND(D11="",B11="",C11="",E11=""),"",IF(D11="","⚠ Pick supplier",IF(ISNA(MATCH(D11,Suppliers!$B$7:$B$106,0)),"⚠ Supplier not in list",IF(B11="","⚠ Enter bill date",IF(N(E11)&lt;=0,"⚠ Enter amount",IF(AND(C11&lt;&gt;"",COUNTIFS($D$8:$D$507,D11,$C$8:$C$507,C11)&gt;1),"⚠ Bill no. used twice",IF(N(I11)&gt;N(E11),"⚠ Paid more than bill","✔")))))))</f>
        <v>✔</v>
      </c>
      <c r="P11" s="9" t="n">
        <f aca="false">IF(D11="",0,MAX(0,N(E11)-N(I11)))</f>
        <v>18880</v>
      </c>
      <c r="Q11" s="9" t="n">
        <f aca="false">IF(D11="",0,SUMIFS($P$8:$P$507,$D$8:$D$507,D11,$B$8:$B$507,"&lt;"&amp;B11)+SUMIFS($P$8:P10,$D$8:D10,D11,$B$8:B10,B11))</f>
        <v>0</v>
      </c>
      <c r="R11" s="9" t="n">
        <f aca="false">IF(D11="",0,IFERROR(INDEX(Suppliers!$R$7:$R$106,MATCH(D11,Suppliers!$B$7:$B$106,0)),0))</f>
        <v>10000</v>
      </c>
      <c r="S11" s="57" t="n">
        <f aca="false">IF(N(K11)&gt;0,IF(H11="",99999,MIN(H11,IF(ISNUMBER(M11),M11,H11)))+ROW()/100000,"")</f>
        <v>46267.00011</v>
      </c>
      <c r="U11" s="9" t="n">
        <f aca="false">IF(N(K11)&gt;0,N(L11),0)</f>
        <v>37</v>
      </c>
      <c r="V11" s="9" t="n">
        <f aca="false">IF(AND(N(K11)&gt;0,ISNUMBER(M11)),M11-Setup!$C$11,99999)</f>
        <v>-43</v>
      </c>
    </row>
    <row r="12" customFormat="false" ht="15" hidden="false" customHeight="false" outlineLevel="0" collapsed="false">
      <c r="A12" s="40" t="n">
        <f aca="false">IF(D12="","",ROW()-7)</f>
        <v>5</v>
      </c>
      <c r="B12" s="79" t="n">
        <v>46259</v>
      </c>
      <c r="C12" s="75" t="s">
        <v>122</v>
      </c>
      <c r="D12" s="76" t="s">
        <v>77</v>
      </c>
      <c r="E12" s="80" t="n">
        <v>20202</v>
      </c>
      <c r="F12" s="79"/>
      <c r="G12" s="76"/>
      <c r="H12" s="54" t="n">
        <f aca="false">IF(OR(D12="",B12=""),"",IF(F12&lt;&gt;"",F12,B12+IFERROR(INDEX(Suppliers!$Q$7:$Q$106,MATCH(D12,Suppliers!$B$7:$B$106,0)),Setup!$C$7)))</f>
        <v>46289</v>
      </c>
      <c r="I12" s="46" t="n">
        <f aca="false">IF(OR(D12="",C12=""),IF(D12="","",0),SUMIFS(Payments!$D$8:$D$507,Payments!$C$8:$C$507,D12,Payments!$F$8:$F$507,C12))</f>
        <v>500</v>
      </c>
      <c r="J12" s="46" t="n">
        <f aca="false">IF(D12="","",MIN(P12,MAX(0,R12-Q12)))</f>
        <v>0</v>
      </c>
      <c r="K12" s="47" t="n">
        <f aca="false">IF(D12="","",P12-J12)</f>
        <v>19702</v>
      </c>
      <c r="L12" s="55" t="n">
        <f aca="false">IF(OR(D12="",N(K12)&lt;=0,H12=""),"",MAX(0,Setup!$C$11-H12))</f>
        <v>21</v>
      </c>
      <c r="M12" s="54" t="str">
        <f aca="false">IF(OR(D12="",B12=""),"",IF(IFERROR(INDEX(Suppliers!$S$7:$S$106,MATCH(D12,Suppliers!$B$7:$B$106,0)),"")="","–",B12+IFERROR(INDEX(Suppliers!$S$7:$S$106,MATCH(D12,Suppliers!$B$7:$B$106,0)),"")))</f>
        <v>–</v>
      </c>
      <c r="N12" s="56" t="str">
        <f aca="false">IF(D12="","",IF(N(K12)&lt;=0,"Paid",IF(AND(ISNUMBER(M12),Setup!$C$11&gt;M12),"⚠ MSME late",IF(N(L12)&gt;0,"Overdue",IF(N(V12)&lt;=Setup!$C$9,"⚠ MSME due soon",IF(K12&lt;E12,"Part paid","Not due"))))))</f>
        <v>Overdue</v>
      </c>
      <c r="O12" s="50" t="str">
        <f aca="false">IF(AND(D12="",B12="",C12="",E12=""),"",IF(D12="","⚠ Pick supplier",IF(ISNA(MATCH(D12,Suppliers!$B$7:$B$106,0)),"⚠ Supplier not in list",IF(B12="","⚠ Enter bill date",IF(N(E12)&lt;=0,"⚠ Enter amount",IF(AND(C12&lt;&gt;"",COUNTIFS($D$8:$D$507,D12,$C$8:$C$507,C12)&gt;1),"⚠ Bill no. used twice",IF(N(I12)&gt;N(E12),"⚠ Paid more than bill","✔")))))))</f>
        <v>✔</v>
      </c>
      <c r="P12" s="9" t="n">
        <f aca="false">IF(D12="",0,MAX(0,N(E12)-N(I12)))</f>
        <v>19702</v>
      </c>
      <c r="Q12" s="9" t="n">
        <f aca="false">IF(D12="",0,SUMIFS($P$8:$P$507,$D$8:$D$507,D12,$B$8:$B$507,"&lt;"&amp;B12)+SUMIFS($P$8:P11,$D$8:D11,D12,$B$8:B11,B12))</f>
        <v>0</v>
      </c>
      <c r="R12" s="9" t="n">
        <f aca="false">IF(D12="",0,IFERROR(INDEX(Suppliers!$R$7:$R$106,MATCH(D12,Suppliers!$B$7:$B$106,0)),0))</f>
        <v>0</v>
      </c>
      <c r="S12" s="57" t="n">
        <f aca="false">IF(N(K12)&gt;0,IF(H12="",99999,MIN(H12,IF(ISNUMBER(M12),M12,H12)))+ROW()/100000,"")</f>
        <v>46289.00012</v>
      </c>
      <c r="U12" s="9" t="n">
        <f aca="false">IF(N(K12)&gt;0,N(L12),0)</f>
        <v>21</v>
      </c>
      <c r="V12" s="9" t="n">
        <f aca="false">IF(AND(N(K12)&gt;0,ISNUMBER(M12)),M12-Setup!$C$11,99999)</f>
        <v>99999</v>
      </c>
    </row>
    <row r="13" customFormat="false" ht="15" hidden="false" customHeight="false" outlineLevel="0" collapsed="false">
      <c r="A13" s="40" t="n">
        <f aca="false">IF(D13="","",ROW()-7)</f>
        <v>6</v>
      </c>
      <c r="B13" s="79" t="n">
        <v>46270</v>
      </c>
      <c r="C13" s="75" t="s">
        <v>123</v>
      </c>
      <c r="D13" s="76" t="s">
        <v>97</v>
      </c>
      <c r="E13" s="80" t="n">
        <v>6372</v>
      </c>
      <c r="F13" s="79"/>
      <c r="G13" s="76"/>
      <c r="H13" s="54" t="n">
        <f aca="false">IF(OR(D13="",B13=""),"",IF(F13&lt;&gt;"",F13,B13+IFERROR(INDEX(Suppliers!$Q$7:$Q$106,MATCH(D13,Suppliers!$B$7:$B$106,0)),Setup!$C$7)))</f>
        <v>46285</v>
      </c>
      <c r="I13" s="46" t="n">
        <f aca="false">IF(OR(D13="",C13=""),IF(D13="","",0),SUMIFS(Payments!$D$8:$D$507,Payments!$C$8:$C$507,D13,Payments!$F$8:$F$507,C13))</f>
        <v>6372</v>
      </c>
      <c r="J13" s="46" t="n">
        <f aca="false">IF(D13="","",MIN(P13,MAX(0,R13-Q13)))</f>
        <v>0</v>
      </c>
      <c r="K13" s="47" t="n">
        <f aca="false">IF(D13="","",P13-J13)</f>
        <v>0</v>
      </c>
      <c r="L13" s="55" t="str">
        <f aca="false">IF(OR(D13="",N(K13)&lt;=0,H13=""),"",MAX(0,Setup!$C$11-H13))</f>
        <v/>
      </c>
      <c r="M13" s="54" t="n">
        <f aca="false">IF(OR(D13="",B13=""),"",IF(IFERROR(INDEX(Suppliers!$S$7:$S$106,MATCH(D13,Suppliers!$B$7:$B$106,0)),"")="","–",B13+IFERROR(INDEX(Suppliers!$S$7:$S$106,MATCH(D13,Suppliers!$B$7:$B$106,0)),"")))</f>
        <v>46285</v>
      </c>
      <c r="N13" s="56" t="str">
        <f aca="false">IF(D13="","",IF(N(K13)&lt;=0,"Paid",IF(AND(ISNUMBER(M13),Setup!$C$11&gt;M13),"⚠ MSME late",IF(N(L13)&gt;0,"Overdue",IF(N(V13)&lt;=Setup!$C$9,"⚠ MSME due soon",IF(K13&lt;E13,"Part paid","Not due"))))))</f>
        <v>Paid</v>
      </c>
      <c r="O13" s="50" t="str">
        <f aca="false">IF(AND(D13="",B13="",C13="",E13=""),"",IF(D13="","⚠ Pick supplier",IF(ISNA(MATCH(D13,Suppliers!$B$7:$B$106,0)),"⚠ Supplier not in list",IF(B13="","⚠ Enter bill date",IF(N(E13)&lt;=0,"⚠ Enter amount",IF(AND(C13&lt;&gt;"",COUNTIFS($D$8:$D$507,D13,$C$8:$C$507,C13)&gt;1),"⚠ Bill no. used twice",IF(N(I13)&gt;N(E13),"⚠ Paid more than bill","✔")))))))</f>
        <v>✔</v>
      </c>
      <c r="P13" s="9" t="n">
        <f aca="false">IF(D13="",0,MAX(0,N(E13)-N(I13)))</f>
        <v>0</v>
      </c>
      <c r="Q13" s="9" t="n">
        <f aca="false">IF(D13="",0,SUMIFS($P$8:$P$507,$D$8:$D$507,D13,$B$8:$B$507,"&lt;"&amp;B13)+SUMIFS($P$8:P12,$D$8:D12,D13,$B$8:B12,B13))</f>
        <v>0</v>
      </c>
      <c r="R13" s="9" t="n">
        <f aca="false">IF(D13="",0,IFERROR(INDEX(Suppliers!$R$7:$R$106,MATCH(D13,Suppliers!$B$7:$B$106,0)),0))</f>
        <v>0</v>
      </c>
      <c r="S13" s="9" t="str">
        <f aca="false">IF(N(K13)&gt;0,IF(H13="",99999,MIN(H13,IF(ISNUMBER(M13),M13,H13)))+ROW()/100000,"")</f>
        <v/>
      </c>
      <c r="U13" s="9" t="n">
        <f aca="false">IF(N(K13)&gt;0,N(L13),0)</f>
        <v>0</v>
      </c>
      <c r="V13" s="9" t="n">
        <f aca="false">IF(AND(N(K13)&gt;0,ISNUMBER(M13)),M13-Setup!$C$11,99999)</f>
        <v>99999</v>
      </c>
    </row>
    <row r="14" customFormat="false" ht="15" hidden="false" customHeight="false" outlineLevel="0" collapsed="false">
      <c r="A14" s="40" t="n">
        <f aca="false">IF(D14="","",ROW()-7)</f>
        <v>7</v>
      </c>
      <c r="B14" s="79" t="n">
        <v>46275</v>
      </c>
      <c r="C14" s="75" t="s">
        <v>124</v>
      </c>
      <c r="D14" s="76" t="s">
        <v>101</v>
      </c>
      <c r="E14" s="80" t="n">
        <v>35400</v>
      </c>
      <c r="F14" s="79"/>
      <c r="G14" s="76"/>
      <c r="H14" s="54" t="n">
        <f aca="false">IF(OR(D14="",B14=""),"",IF(F14&lt;&gt;"",F14,B14+IFERROR(INDEX(Suppliers!$Q$7:$Q$106,MATCH(D14,Suppliers!$B$7:$B$106,0)),Setup!$C$7)))</f>
        <v>46305</v>
      </c>
      <c r="I14" s="46" t="n">
        <f aca="false">IF(OR(D14="",C14=""),IF(D14="","",0),SUMIFS(Payments!$D$8:$D$507,Payments!$C$8:$C$507,D14,Payments!$F$8:$F$507,C14))</f>
        <v>35400</v>
      </c>
      <c r="J14" s="46" t="n">
        <f aca="false">IF(D14="","",MIN(P14,MAX(0,R14-Q14)))</f>
        <v>0</v>
      </c>
      <c r="K14" s="47" t="n">
        <f aca="false">IF(D14="","",P14-J14)</f>
        <v>0</v>
      </c>
      <c r="L14" s="55" t="str">
        <f aca="false">IF(OR(D14="",N(K14)&lt;=0,H14=""),"",MAX(0,Setup!$C$11-H14))</f>
        <v/>
      </c>
      <c r="M14" s="54" t="str">
        <f aca="false">IF(OR(D14="",B14=""),"",IF(IFERROR(INDEX(Suppliers!$S$7:$S$106,MATCH(D14,Suppliers!$B$7:$B$106,0)),"")="","–",B14+IFERROR(INDEX(Suppliers!$S$7:$S$106,MATCH(D14,Suppliers!$B$7:$B$106,0)),"")))</f>
        <v>–</v>
      </c>
      <c r="N14" s="56" t="str">
        <f aca="false">IF(D14="","",IF(N(K14)&lt;=0,"Paid",IF(AND(ISNUMBER(M14),Setup!$C$11&gt;M14),"⚠ MSME late",IF(N(L14)&gt;0,"Overdue",IF(N(V14)&lt;=Setup!$C$9,"⚠ MSME due soon",IF(K14&lt;E14,"Part paid","Not due"))))))</f>
        <v>Paid</v>
      </c>
      <c r="O14" s="50" t="str">
        <f aca="false">IF(AND(D14="",B14="",C14="",E14=""),"",IF(D14="","⚠ Pick supplier",IF(ISNA(MATCH(D14,Suppliers!$B$7:$B$106,0)),"⚠ Supplier not in list",IF(B14="","⚠ Enter bill date",IF(N(E14)&lt;=0,"⚠ Enter amount",IF(AND(C14&lt;&gt;"",COUNTIFS($D$8:$D$507,D14,$C$8:$C$507,C14)&gt;1),"⚠ Bill no. used twice",IF(N(I14)&gt;N(E14),"⚠ Paid more than bill","✔")))))))</f>
        <v>✔</v>
      </c>
      <c r="P14" s="9" t="n">
        <f aca="false">IF(D14="",0,MAX(0,N(E14)-N(I14)))</f>
        <v>0</v>
      </c>
      <c r="Q14" s="9" t="n">
        <f aca="false">IF(D14="",0,SUMIFS($P$8:$P$507,$D$8:$D$507,D14,$B$8:$B$507,"&lt;"&amp;B14)+SUMIFS($P$8:P13,$D$8:D13,D14,$B$8:B13,B14))</f>
        <v>0</v>
      </c>
      <c r="R14" s="9" t="n">
        <f aca="false">IF(D14="",0,IFERROR(INDEX(Suppliers!$R$7:$R$106,MATCH(D14,Suppliers!$B$7:$B$106,0)),0))</f>
        <v>0</v>
      </c>
      <c r="S14" s="9" t="str">
        <f aca="false">IF(N(K14)&gt;0,IF(H14="",99999,MIN(H14,IF(ISNUMBER(M14),M14,H14)))+ROW()/100000,"")</f>
        <v/>
      </c>
      <c r="U14" s="9" t="n">
        <f aca="false">IF(N(K14)&gt;0,N(L14),0)</f>
        <v>0</v>
      </c>
      <c r="V14" s="9" t="n">
        <f aca="false">IF(AND(N(K14)&gt;0,ISNUMBER(M14)),M14-Setup!$C$11,99999)</f>
        <v>99999</v>
      </c>
    </row>
    <row r="15" customFormat="false" ht="15" hidden="false" customHeight="false" outlineLevel="0" collapsed="false">
      <c r="A15" s="40" t="n">
        <f aca="false">IF(D15="","",ROW()-7)</f>
        <v>8</v>
      </c>
      <c r="B15" s="79" t="n">
        <v>46283</v>
      </c>
      <c r="C15" s="75" t="s">
        <v>125</v>
      </c>
      <c r="D15" s="76" t="s">
        <v>87</v>
      </c>
      <c r="E15" s="80" t="n">
        <v>12390</v>
      </c>
      <c r="F15" s="79"/>
      <c r="G15" s="76"/>
      <c r="H15" s="54" t="n">
        <f aca="false">IF(OR(D15="",B15=""),"",IF(F15&lt;&gt;"",F15,B15+IFERROR(INDEX(Suppliers!$Q$7:$Q$106,MATCH(D15,Suppliers!$B$7:$B$106,0)),Setup!$C$7)))</f>
        <v>46304</v>
      </c>
      <c r="I15" s="46" t="n">
        <f aca="false">IF(OR(D15="",C15=""),IF(D15="","",0),SUMIFS(Payments!$D$8:$D$507,Payments!$C$8:$C$507,D15,Payments!$F$8:$F$507,C15))</f>
        <v>0</v>
      </c>
      <c r="J15" s="46" t="n">
        <f aca="false">IF(D15="","",MIN(P15,MAX(0,R15-Q15)))</f>
        <v>0</v>
      </c>
      <c r="K15" s="47" t="n">
        <f aca="false">IF(D15="","",P15-J15)</f>
        <v>12390</v>
      </c>
      <c r="L15" s="55" t="n">
        <f aca="false">IF(OR(D15="",N(K15)&lt;=0,H15=""),"",MAX(0,Setup!$C$11-H15))</f>
        <v>6</v>
      </c>
      <c r="M15" s="54" t="n">
        <f aca="false">IF(OR(D15="",B15=""),"",IF(IFERROR(INDEX(Suppliers!$S$7:$S$106,MATCH(D15,Suppliers!$B$7:$B$106,0)),"")="","–",B15+IFERROR(INDEX(Suppliers!$S$7:$S$106,MATCH(D15,Suppliers!$B$7:$B$106,0)),"")))</f>
        <v>46298</v>
      </c>
      <c r="N15" s="56" t="str">
        <f aca="false">IF(D15="","",IF(N(K15)&lt;=0,"Paid",IF(AND(ISNUMBER(M15),Setup!$C$11&gt;M15),"⚠ MSME late",IF(N(L15)&gt;0,"Overdue",IF(N(V15)&lt;=Setup!$C$9,"⚠ MSME due soon",IF(K15&lt;E15,"Part paid","Not due"))))))</f>
        <v>⚠ MSME late</v>
      </c>
      <c r="O15" s="50" t="str">
        <f aca="false">IF(AND(D15="",B15="",C15="",E15=""),"",IF(D15="","⚠ Pick supplier",IF(ISNA(MATCH(D15,Suppliers!$B$7:$B$106,0)),"⚠ Supplier not in list",IF(B15="","⚠ Enter bill date",IF(N(E15)&lt;=0,"⚠ Enter amount",IF(AND(C15&lt;&gt;"",COUNTIFS($D$8:$D$507,D15,$C$8:$C$507,C15)&gt;1),"⚠ Bill no. used twice",IF(N(I15)&gt;N(E15),"⚠ Paid more than bill","✔")))))))</f>
        <v>✔</v>
      </c>
      <c r="P15" s="9" t="n">
        <f aca="false">IF(D15="",0,MAX(0,N(E15)-N(I15)))</f>
        <v>12390</v>
      </c>
      <c r="Q15" s="9" t="n">
        <f aca="false">IF(D15="",0,SUMIFS($P$8:$P$507,$D$8:$D$507,D15,$B$8:$B$507,"&lt;"&amp;B15)+SUMIFS($P$8:P14,$D$8:D14,D15,$B$8:B14,B15))</f>
        <v>18880</v>
      </c>
      <c r="R15" s="9" t="n">
        <f aca="false">IF(D15="",0,IFERROR(INDEX(Suppliers!$R$7:$R$106,MATCH(D15,Suppliers!$B$7:$B$106,0)),0))</f>
        <v>10000</v>
      </c>
      <c r="S15" s="57" t="n">
        <f aca="false">IF(N(K15)&gt;0,IF(H15="",99999,MIN(H15,IF(ISNUMBER(M15),M15,H15)))+ROW()/100000,"")</f>
        <v>46298.00015</v>
      </c>
      <c r="U15" s="9" t="n">
        <f aca="false">IF(N(K15)&gt;0,N(L15),0)</f>
        <v>6</v>
      </c>
      <c r="V15" s="9" t="n">
        <f aca="false">IF(AND(N(K15)&gt;0,ISNUMBER(M15)),M15-Setup!$C$11,99999)</f>
        <v>-12</v>
      </c>
    </row>
    <row r="16" customFormat="false" ht="15" hidden="false" customHeight="false" outlineLevel="0" collapsed="false">
      <c r="A16" s="40" t="n">
        <f aca="false">IF(D16="","",ROW()-7)</f>
        <v>9</v>
      </c>
      <c r="B16" s="79" t="n">
        <v>46287</v>
      </c>
      <c r="C16" s="75" t="s">
        <v>126</v>
      </c>
      <c r="D16" s="76" t="s">
        <v>93</v>
      </c>
      <c r="E16" s="80" t="n">
        <v>25960</v>
      </c>
      <c r="F16" s="79"/>
      <c r="G16" s="76"/>
      <c r="H16" s="54" t="n">
        <f aca="false">IF(OR(D16="",B16=""),"",IF(F16&lt;&gt;"",F16,B16+IFERROR(INDEX(Suppliers!$Q$7:$Q$106,MATCH(D16,Suppliers!$B$7:$B$106,0)),Setup!$C$7)))</f>
        <v>46317</v>
      </c>
      <c r="I16" s="46" t="n">
        <f aca="false">IF(OR(D16="",C16=""),IF(D16="","",0),SUMIFS(Payments!$D$8:$D$507,Payments!$C$8:$C$507,D16,Payments!$F$8:$F$507,C16))</f>
        <v>0</v>
      </c>
      <c r="J16" s="46" t="n">
        <f aca="false">IF(D16="","",MIN(P16,MAX(0,R16-Q16)))</f>
        <v>0</v>
      </c>
      <c r="K16" s="47" t="n">
        <f aca="false">IF(D16="","",P16-J16)</f>
        <v>25960</v>
      </c>
      <c r="L16" s="55" t="n">
        <f aca="false">IF(OR(D16="",N(K16)&lt;=0,H16=""),"",MAX(0,Setup!$C$11-H16))</f>
        <v>0</v>
      </c>
      <c r="M16" s="54" t="str">
        <f aca="false">IF(OR(D16="",B16=""),"",IF(IFERROR(INDEX(Suppliers!$S$7:$S$106,MATCH(D16,Suppliers!$B$7:$B$106,0)),"")="","–",B16+IFERROR(INDEX(Suppliers!$S$7:$S$106,MATCH(D16,Suppliers!$B$7:$B$106,0)),"")))</f>
        <v>–</v>
      </c>
      <c r="N16" s="56" t="str">
        <f aca="false">IF(D16="","",IF(N(K16)&lt;=0,"Paid",IF(AND(ISNUMBER(M16),Setup!$C$11&gt;M16),"⚠ MSME late",IF(N(L16)&gt;0,"Overdue",IF(N(V16)&lt;=Setup!$C$9,"⚠ MSME due soon",IF(K16&lt;E16,"Part paid","Not due"))))))</f>
        <v>Not due</v>
      </c>
      <c r="O16" s="50" t="str">
        <f aca="false">IF(AND(D16="",B16="",C16="",E16=""),"",IF(D16="","⚠ Pick supplier",IF(ISNA(MATCH(D16,Suppliers!$B$7:$B$106,0)),"⚠ Supplier not in list",IF(B16="","⚠ Enter bill date",IF(N(E16)&lt;=0,"⚠ Enter amount",IF(AND(C16&lt;&gt;"",COUNTIFS($D$8:$D$507,D16,$C$8:$C$507,C16)&gt;1),"⚠ Bill no. used twice",IF(N(I16)&gt;N(E16),"⚠ Paid more than bill","✔")))))))</f>
        <v>✔</v>
      </c>
      <c r="P16" s="9" t="n">
        <f aca="false">IF(D16="",0,MAX(0,N(E16)-N(I16)))</f>
        <v>25960</v>
      </c>
      <c r="Q16" s="9" t="n">
        <f aca="false">IF(D16="",0,SUMIFS($P$8:$P$507,$D$8:$D$507,D16,$B$8:$B$507,"&lt;"&amp;B16)+SUMIFS($P$8:P15,$D$8:D15,D16,$B$8:B15,B16))</f>
        <v>42480</v>
      </c>
      <c r="R16" s="9" t="n">
        <f aca="false">IF(D16="",0,IFERROR(INDEX(Suppliers!$R$7:$R$106,MATCH(D16,Suppliers!$B$7:$B$106,0)),0))</f>
        <v>42480</v>
      </c>
      <c r="S16" s="57" t="n">
        <f aca="false">IF(N(K16)&gt;0,IF(H16="",99999,MIN(H16,IF(ISNUMBER(M16),M16,H16)))+ROW()/100000,"")</f>
        <v>46317.00016</v>
      </c>
      <c r="U16" s="9" t="n">
        <f aca="false">IF(N(K16)&gt;0,N(L16),0)</f>
        <v>0</v>
      </c>
      <c r="V16" s="9" t="n">
        <f aca="false">IF(AND(N(K16)&gt;0,ISNUMBER(M16)),M16-Setup!$C$11,99999)</f>
        <v>99999</v>
      </c>
    </row>
    <row r="17" customFormat="false" ht="15" hidden="false" customHeight="false" outlineLevel="0" collapsed="false">
      <c r="A17" s="40" t="n">
        <f aca="false">IF(D17="","",ROW()-7)</f>
        <v>10</v>
      </c>
      <c r="B17" s="79" t="n">
        <v>46293</v>
      </c>
      <c r="C17" s="75" t="s">
        <v>127</v>
      </c>
      <c r="D17" s="76" t="s">
        <v>82</v>
      </c>
      <c r="E17" s="80" t="n">
        <v>30444</v>
      </c>
      <c r="F17" s="79"/>
      <c r="G17" s="76"/>
      <c r="H17" s="54" t="n">
        <f aca="false">IF(OR(D17="",B17=""),"",IF(F17&lt;&gt;"",F17,B17+IFERROR(INDEX(Suppliers!$Q$7:$Q$106,MATCH(D17,Suppliers!$B$7:$B$106,0)),Setup!$C$7)))</f>
        <v>46338</v>
      </c>
      <c r="I17" s="46" t="n">
        <f aca="false">IF(OR(D17="",C17=""),IF(D17="","",0),SUMIFS(Payments!$D$8:$D$507,Payments!$C$8:$C$507,D17,Payments!$F$8:$F$507,C17))</f>
        <v>0</v>
      </c>
      <c r="J17" s="46" t="n">
        <f aca="false">IF(D17="","",MIN(P17,MAX(0,R17-Q17)))</f>
        <v>0</v>
      </c>
      <c r="K17" s="47" t="n">
        <f aca="false">IF(D17="","",P17-J17)</f>
        <v>30444</v>
      </c>
      <c r="L17" s="55" t="n">
        <f aca="false">IF(OR(D17="",N(K17)&lt;=0,H17=""),"",MAX(0,Setup!$C$11-H17))</f>
        <v>0</v>
      </c>
      <c r="M17" s="54" t="n">
        <f aca="false">IF(OR(D17="",B17=""),"",IF(IFERROR(INDEX(Suppliers!$S$7:$S$106,MATCH(D17,Suppliers!$B$7:$B$106,0)),"")="","–",B17+IFERROR(INDEX(Suppliers!$S$7:$S$106,MATCH(D17,Suppliers!$B$7:$B$106,0)),"")))</f>
        <v>46338</v>
      </c>
      <c r="N17" s="56" t="str">
        <f aca="false">IF(D17="","",IF(N(K17)&lt;=0,"Paid",IF(AND(ISNUMBER(M17),Setup!$C$11&gt;M17),"⚠ MSME late",IF(N(L17)&gt;0,"Overdue",IF(N(V17)&lt;=Setup!$C$9,"⚠ MSME due soon",IF(K17&lt;E17,"Part paid","Not due"))))))</f>
        <v>Not due</v>
      </c>
      <c r="O17" s="50" t="str">
        <f aca="false">IF(AND(D17="",B17="",C17="",E17=""),"",IF(D17="","⚠ Pick supplier",IF(ISNA(MATCH(D17,Suppliers!$B$7:$B$106,0)),"⚠ Supplier not in list",IF(B17="","⚠ Enter bill date",IF(N(E17)&lt;=0,"⚠ Enter amount",IF(AND(C17&lt;&gt;"",COUNTIFS($D$8:$D$507,D17,$C$8:$C$507,C17)&gt;1),"⚠ Bill no. used twice",IF(N(I17)&gt;N(E17),"⚠ Paid more than bill","✔")))))))</f>
        <v>✔</v>
      </c>
      <c r="P17" s="9" t="n">
        <f aca="false">IF(D17="",0,MAX(0,N(E17)-N(I17)))</f>
        <v>30444</v>
      </c>
      <c r="Q17" s="9" t="n">
        <f aca="false">IF(D17="",0,SUMIFS($P$8:$P$507,$D$8:$D$507,D17,$B$8:$B$507,"&lt;"&amp;B17)+SUMIFS($P$8:P16,$D$8:D16,D17,$B$8:B16,B17))</f>
        <v>0</v>
      </c>
      <c r="R17" s="9" t="n">
        <f aca="false">IF(D17="",0,IFERROR(INDEX(Suppliers!$R$7:$R$106,MATCH(D17,Suppliers!$B$7:$B$106,0)),0))</f>
        <v>0</v>
      </c>
      <c r="S17" s="57" t="n">
        <f aca="false">IF(N(K17)&gt;0,IF(H17="",99999,MIN(H17,IF(ISNUMBER(M17),M17,H17)))+ROW()/100000,"")</f>
        <v>46338.00017</v>
      </c>
      <c r="U17" s="9" t="n">
        <f aca="false">IF(N(K17)&gt;0,N(L17),0)</f>
        <v>0</v>
      </c>
      <c r="V17" s="9" t="n">
        <f aca="false">IF(AND(N(K17)&gt;0,ISNUMBER(M17)),M17-Setup!$C$11,99999)</f>
        <v>28</v>
      </c>
    </row>
    <row r="18" customFormat="false" ht="15" hidden="false" customHeight="false" outlineLevel="0" collapsed="false">
      <c r="A18" s="40" t="n">
        <f aca="false">IF(D18="","",ROW()-7)</f>
        <v>11</v>
      </c>
      <c r="B18" s="79" t="n">
        <v>46296</v>
      </c>
      <c r="C18" s="75" t="s">
        <v>128</v>
      </c>
      <c r="D18" s="76" t="s">
        <v>97</v>
      </c>
      <c r="E18" s="80" t="n">
        <v>4720</v>
      </c>
      <c r="F18" s="79"/>
      <c r="G18" s="76"/>
      <c r="H18" s="54" t="n">
        <f aca="false">IF(OR(D18="",B18=""),"",IF(F18&lt;&gt;"",F18,B18+IFERROR(INDEX(Suppliers!$Q$7:$Q$106,MATCH(D18,Suppliers!$B$7:$B$106,0)),Setup!$C$7)))</f>
        <v>46311</v>
      </c>
      <c r="I18" s="46" t="n">
        <f aca="false">IF(OR(D18="",C18=""),IF(D18="","",0),SUMIFS(Payments!$D$8:$D$507,Payments!$C$8:$C$507,D18,Payments!$F$8:$F$507,C18))</f>
        <v>0</v>
      </c>
      <c r="J18" s="46" t="n">
        <f aca="false">IF(D18="","",MIN(P18,MAX(0,R18-Q18)))</f>
        <v>0</v>
      </c>
      <c r="K18" s="47" t="n">
        <f aca="false">IF(D18="","",P18-J18)</f>
        <v>4720</v>
      </c>
      <c r="L18" s="55" t="n">
        <f aca="false">IF(OR(D18="",N(K18)&lt;=0,H18=""),"",MAX(0,Setup!$C$11-H18))</f>
        <v>0</v>
      </c>
      <c r="M18" s="54" t="n">
        <f aca="false">IF(OR(D18="",B18=""),"",IF(IFERROR(INDEX(Suppliers!$S$7:$S$106,MATCH(D18,Suppliers!$B$7:$B$106,0)),"")="","–",B18+IFERROR(INDEX(Suppliers!$S$7:$S$106,MATCH(D18,Suppliers!$B$7:$B$106,0)),"")))</f>
        <v>46311</v>
      </c>
      <c r="N18" s="56" t="str">
        <f aca="false">IF(D18="","",IF(N(K18)&lt;=0,"Paid",IF(AND(ISNUMBER(M18),Setup!$C$11&gt;M18),"⚠ MSME late",IF(N(L18)&gt;0,"Overdue",IF(N(V18)&lt;=Setup!$C$9,"⚠ MSME due soon",IF(K18&lt;E18,"Part paid","Not due"))))))</f>
        <v>⚠ MSME due soon</v>
      </c>
      <c r="O18" s="50" t="str">
        <f aca="false">IF(AND(D18="",B18="",C18="",E18=""),"",IF(D18="","⚠ Pick supplier",IF(ISNA(MATCH(D18,Suppliers!$B$7:$B$106,0)),"⚠ Supplier not in list",IF(B18="","⚠ Enter bill date",IF(N(E18)&lt;=0,"⚠ Enter amount",IF(AND(C18&lt;&gt;"",COUNTIFS($D$8:$D$507,D18,$C$8:$C$507,C18)&gt;1),"⚠ Bill no. used twice",IF(N(I18)&gt;N(E18),"⚠ Paid more than bill","✔")))))))</f>
        <v>✔</v>
      </c>
      <c r="P18" s="9" t="n">
        <f aca="false">IF(D18="",0,MAX(0,N(E18)-N(I18)))</f>
        <v>4720</v>
      </c>
      <c r="Q18" s="9" t="n">
        <f aca="false">IF(D18="",0,SUMIFS($P$8:$P$507,$D$8:$D$507,D18,$B$8:$B$507,"&lt;"&amp;B18)+SUMIFS($P$8:P17,$D$8:D17,D18,$B$8:B17,B18))</f>
        <v>0</v>
      </c>
      <c r="R18" s="9" t="n">
        <f aca="false">IF(D18="",0,IFERROR(INDEX(Suppliers!$R$7:$R$106,MATCH(D18,Suppliers!$B$7:$B$106,0)),0))</f>
        <v>0</v>
      </c>
      <c r="S18" s="57" t="n">
        <f aca="false">IF(N(K18)&gt;0,IF(H18="",99999,MIN(H18,IF(ISNUMBER(M18),M18,H18)))+ROW()/100000,"")</f>
        <v>46311.00018</v>
      </c>
      <c r="U18" s="9" t="n">
        <f aca="false">IF(N(K18)&gt;0,N(L18),0)</f>
        <v>0</v>
      </c>
      <c r="V18" s="9" t="n">
        <f aca="false">IF(AND(N(K18)&gt;0,ISNUMBER(M18)),M18-Setup!$C$11,99999)</f>
        <v>1</v>
      </c>
    </row>
    <row r="19" customFormat="false" ht="15" hidden="false" customHeight="false" outlineLevel="0" collapsed="false">
      <c r="A19" s="40" t="n">
        <f aca="false">IF(D19="","",ROW()-7)</f>
        <v>12</v>
      </c>
      <c r="B19" s="79" t="n">
        <v>46298</v>
      </c>
      <c r="C19" s="75" t="s">
        <v>129</v>
      </c>
      <c r="D19" s="76" t="s">
        <v>87</v>
      </c>
      <c r="E19" s="80" t="n">
        <v>9440</v>
      </c>
      <c r="F19" s="79"/>
      <c r="G19" s="76"/>
      <c r="H19" s="54" t="n">
        <f aca="false">IF(OR(D19="",B19=""),"",IF(F19&lt;&gt;"",F19,B19+IFERROR(INDEX(Suppliers!$Q$7:$Q$106,MATCH(D19,Suppliers!$B$7:$B$106,0)),Setup!$C$7)))</f>
        <v>46319</v>
      </c>
      <c r="I19" s="46" t="n">
        <f aca="false">IF(OR(D19="",C19=""),IF(D19="","",0),SUMIFS(Payments!$D$8:$D$507,Payments!$C$8:$C$507,D19,Payments!$F$8:$F$507,C19))</f>
        <v>0</v>
      </c>
      <c r="J19" s="46" t="n">
        <f aca="false">IF(D19="","",MIN(P19,MAX(0,R19-Q19)))</f>
        <v>0</v>
      </c>
      <c r="K19" s="47" t="n">
        <f aca="false">IF(D19="","",P19-J19)</f>
        <v>9440</v>
      </c>
      <c r="L19" s="55" t="n">
        <f aca="false">IF(OR(D19="",N(K19)&lt;=0,H19=""),"",MAX(0,Setup!$C$11-H19))</f>
        <v>0</v>
      </c>
      <c r="M19" s="54" t="n">
        <f aca="false">IF(OR(D19="",B19=""),"",IF(IFERROR(INDEX(Suppliers!$S$7:$S$106,MATCH(D19,Suppliers!$B$7:$B$106,0)),"")="","–",B19+IFERROR(INDEX(Suppliers!$S$7:$S$106,MATCH(D19,Suppliers!$B$7:$B$106,0)),"")))</f>
        <v>46313</v>
      </c>
      <c r="N19" s="56" t="str">
        <f aca="false">IF(D19="","",IF(N(K19)&lt;=0,"Paid",IF(AND(ISNUMBER(M19),Setup!$C$11&gt;M19),"⚠ MSME late",IF(N(L19)&gt;0,"Overdue",IF(N(V19)&lt;=Setup!$C$9,"⚠ MSME due soon",IF(K19&lt;E19,"Part paid","Not due"))))))</f>
        <v>⚠ MSME due soon</v>
      </c>
      <c r="O19" s="50" t="str">
        <f aca="false">IF(AND(D19="",B19="",C19="",E19=""),"",IF(D19="","⚠ Pick supplier",IF(ISNA(MATCH(D19,Suppliers!$B$7:$B$106,0)),"⚠ Supplier not in list",IF(B19="","⚠ Enter bill date",IF(N(E19)&lt;=0,"⚠ Enter amount",IF(AND(C19&lt;&gt;"",COUNTIFS($D$8:$D$507,D19,$C$8:$C$507,C19)&gt;1),"⚠ Bill no. used twice",IF(N(I19)&gt;N(E19),"⚠ Paid more than bill","✔")))))))</f>
        <v>✔</v>
      </c>
      <c r="P19" s="9" t="n">
        <f aca="false">IF(D19="",0,MAX(0,N(E19)-N(I19)))</f>
        <v>9440</v>
      </c>
      <c r="Q19" s="9" t="n">
        <f aca="false">IF(D19="",0,SUMIFS($P$8:$P$507,$D$8:$D$507,D19,$B$8:$B$507,"&lt;"&amp;B19)+SUMIFS($P$8:P18,$D$8:D18,D19,$B$8:B18,B19))</f>
        <v>31270</v>
      </c>
      <c r="R19" s="9" t="n">
        <f aca="false">IF(D19="",0,IFERROR(INDEX(Suppliers!$R$7:$R$106,MATCH(D19,Suppliers!$B$7:$B$106,0)),0))</f>
        <v>10000</v>
      </c>
      <c r="S19" s="57" t="n">
        <f aca="false">IF(N(K19)&gt;0,IF(H19="",99999,MIN(H19,IF(ISNUMBER(M19),M19,H19)))+ROW()/100000,"")</f>
        <v>46313.00019</v>
      </c>
      <c r="U19" s="9" t="n">
        <f aca="false">IF(N(K19)&gt;0,N(L19),0)</f>
        <v>0</v>
      </c>
      <c r="V19" s="9" t="n">
        <f aca="false">IF(AND(N(K19)&gt;0,ISNUMBER(M19)),M19-Setup!$C$11,99999)</f>
        <v>3</v>
      </c>
    </row>
    <row r="20" customFormat="false" ht="15" hidden="false" customHeight="false" outlineLevel="0" collapsed="false">
      <c r="A20" s="40" t="n">
        <f aca="false">IF(D20="","",ROW()-7)</f>
        <v>13</v>
      </c>
      <c r="B20" s="79" t="n">
        <v>46301</v>
      </c>
      <c r="C20" s="75" t="s">
        <v>130</v>
      </c>
      <c r="D20" s="76" t="s">
        <v>77</v>
      </c>
      <c r="E20" s="80" t="n">
        <v>38350</v>
      </c>
      <c r="F20" s="79"/>
      <c r="G20" s="76"/>
      <c r="H20" s="54" t="n">
        <f aca="false">IF(OR(D20="",B20=""),"",IF(F20&lt;&gt;"",F20,B20+IFERROR(INDEX(Suppliers!$Q$7:$Q$106,MATCH(D20,Suppliers!$B$7:$B$106,0)),Setup!$C$7)))</f>
        <v>46331</v>
      </c>
      <c r="I20" s="46" t="n">
        <f aca="false">IF(OR(D20="",C20=""),IF(D20="","",0),SUMIFS(Payments!$D$8:$D$507,Payments!$C$8:$C$507,D20,Payments!$F$8:$F$507,C20))</f>
        <v>0</v>
      </c>
      <c r="J20" s="46" t="n">
        <f aca="false">IF(D20="","",MIN(P20,MAX(0,R20-Q20)))</f>
        <v>0</v>
      </c>
      <c r="K20" s="47" t="n">
        <f aca="false">IF(D20="","",P20-J20)</f>
        <v>38350</v>
      </c>
      <c r="L20" s="55" t="n">
        <f aca="false">IF(OR(D20="",N(K20)&lt;=0,H20=""),"",MAX(0,Setup!$C$11-H20))</f>
        <v>0</v>
      </c>
      <c r="M20" s="54" t="str">
        <f aca="false">IF(OR(D20="",B20=""),"",IF(IFERROR(INDEX(Suppliers!$S$7:$S$106,MATCH(D20,Suppliers!$B$7:$B$106,0)),"")="","–",B20+IFERROR(INDEX(Suppliers!$S$7:$S$106,MATCH(D20,Suppliers!$B$7:$B$106,0)),"")))</f>
        <v>–</v>
      </c>
      <c r="N20" s="56" t="str">
        <f aca="false">IF(D20="","",IF(N(K20)&lt;=0,"Paid",IF(AND(ISNUMBER(M20),Setup!$C$11&gt;M20),"⚠ MSME late",IF(N(L20)&gt;0,"Overdue",IF(N(V20)&lt;=Setup!$C$9,"⚠ MSME due soon",IF(K20&lt;E20,"Part paid","Not due"))))))</f>
        <v>Not due</v>
      </c>
      <c r="O20" s="50" t="str">
        <f aca="false">IF(AND(D20="",B20="",C20="",E20=""),"",IF(D20="","⚠ Pick supplier",IF(ISNA(MATCH(D20,Suppliers!$B$7:$B$106,0)),"⚠ Supplier not in list",IF(B20="","⚠ Enter bill date",IF(N(E20)&lt;=0,"⚠ Enter amount",IF(AND(C20&lt;&gt;"",COUNTIFS($D$8:$D$507,D20,$C$8:$C$507,C20)&gt;1),"⚠ Bill no. used twice",IF(N(I20)&gt;N(E20),"⚠ Paid more than bill","✔")))))))</f>
        <v>✔</v>
      </c>
      <c r="P20" s="9" t="n">
        <f aca="false">IF(D20="",0,MAX(0,N(E20)-N(I20)))</f>
        <v>38350</v>
      </c>
      <c r="Q20" s="9" t="n">
        <f aca="false">IF(D20="",0,SUMIFS($P$8:$P$507,$D$8:$D$507,D20,$B$8:$B$507,"&lt;"&amp;B20)+SUMIFS($P$8:P19,$D$8:D19,D20,$B$8:B19,B20))</f>
        <v>19702</v>
      </c>
      <c r="R20" s="9" t="n">
        <f aca="false">IF(D20="",0,IFERROR(INDEX(Suppliers!$R$7:$R$106,MATCH(D20,Suppliers!$B$7:$B$106,0)),0))</f>
        <v>0</v>
      </c>
      <c r="S20" s="57" t="n">
        <f aca="false">IF(N(K20)&gt;0,IF(H20="",99999,MIN(H20,IF(ISNUMBER(M20),M20,H20)))+ROW()/100000,"")</f>
        <v>46331.0002</v>
      </c>
      <c r="U20" s="9" t="n">
        <f aca="false">IF(N(K20)&gt;0,N(L20),0)</f>
        <v>0</v>
      </c>
      <c r="V20" s="9" t="n">
        <f aca="false">IF(AND(N(K20)&gt;0,ISNUMBER(M20)),M20-Setup!$C$11,99999)</f>
        <v>99999</v>
      </c>
    </row>
    <row r="21" customFormat="false" ht="15" hidden="false" customHeight="false" outlineLevel="0" collapsed="false">
      <c r="A21" s="40" t="n">
        <f aca="false">IF(D21="","",ROW()-7)</f>
        <v>14</v>
      </c>
      <c r="B21" s="79" t="n">
        <v>46303</v>
      </c>
      <c r="C21" s="75" t="s">
        <v>131</v>
      </c>
      <c r="D21" s="76" t="s">
        <v>101</v>
      </c>
      <c r="E21" s="80" t="n">
        <v>21240</v>
      </c>
      <c r="F21" s="79"/>
      <c r="G21" s="76"/>
      <c r="H21" s="54" t="n">
        <f aca="false">IF(OR(D21="",B21=""),"",IF(F21&lt;&gt;"",F21,B21+IFERROR(INDEX(Suppliers!$Q$7:$Q$106,MATCH(D21,Suppliers!$B$7:$B$106,0)),Setup!$C$7)))</f>
        <v>46333</v>
      </c>
      <c r="I21" s="46" t="n">
        <f aca="false">IF(OR(D21="",C21=""),IF(D21="","",0),SUMIFS(Payments!$D$8:$D$507,Payments!$C$8:$C$507,D21,Payments!$F$8:$F$507,C21))</f>
        <v>0</v>
      </c>
      <c r="J21" s="46" t="n">
        <f aca="false">IF(D21="","",MIN(P21,MAX(0,R21-Q21)))</f>
        <v>0</v>
      </c>
      <c r="K21" s="47" t="n">
        <f aca="false">IF(D21="","",P21-J21)</f>
        <v>21240</v>
      </c>
      <c r="L21" s="55" t="n">
        <f aca="false">IF(OR(D21="",N(K21)&lt;=0,H21=""),"",MAX(0,Setup!$C$11-H21))</f>
        <v>0</v>
      </c>
      <c r="M21" s="54" t="str">
        <f aca="false">IF(OR(D21="",B21=""),"",IF(IFERROR(INDEX(Suppliers!$S$7:$S$106,MATCH(D21,Suppliers!$B$7:$B$106,0)),"")="","–",B21+IFERROR(INDEX(Suppliers!$S$7:$S$106,MATCH(D21,Suppliers!$B$7:$B$106,0)),"")))</f>
        <v>–</v>
      </c>
      <c r="N21" s="56" t="str">
        <f aca="false">IF(D21="","",IF(N(K21)&lt;=0,"Paid",IF(AND(ISNUMBER(M21),Setup!$C$11&gt;M21),"⚠ MSME late",IF(N(L21)&gt;0,"Overdue",IF(N(V21)&lt;=Setup!$C$9,"⚠ MSME due soon",IF(K21&lt;E21,"Part paid","Not due"))))))</f>
        <v>Not due</v>
      </c>
      <c r="O21" s="50" t="str">
        <f aca="false">IF(AND(D21="",B21="",C21="",E21=""),"",IF(D21="","⚠ Pick supplier",IF(ISNA(MATCH(D21,Suppliers!$B$7:$B$106,0)),"⚠ Supplier not in list",IF(B21="","⚠ Enter bill date",IF(N(E21)&lt;=0,"⚠ Enter amount",IF(AND(C21&lt;&gt;"",COUNTIFS($D$8:$D$507,D21,$C$8:$C$507,C21)&gt;1),"⚠ Bill no. used twice",IF(N(I21)&gt;N(E21),"⚠ Paid more than bill","✔")))))))</f>
        <v>✔</v>
      </c>
      <c r="P21" s="9" t="n">
        <f aca="false">IF(D21="",0,MAX(0,N(E21)-N(I21)))</f>
        <v>21240</v>
      </c>
      <c r="Q21" s="9" t="n">
        <f aca="false">IF(D21="",0,SUMIFS($P$8:$P$507,$D$8:$D$507,D21,$B$8:$B$507,"&lt;"&amp;B21)+SUMIFS($P$8:P20,$D$8:D20,D21,$B$8:B20,B21))</f>
        <v>0</v>
      </c>
      <c r="R21" s="9" t="n">
        <f aca="false">IF(D21="",0,IFERROR(INDEX(Suppliers!$R$7:$R$106,MATCH(D21,Suppliers!$B$7:$B$106,0)),0))</f>
        <v>0</v>
      </c>
      <c r="S21" s="57" t="n">
        <f aca="false">IF(N(K21)&gt;0,IF(H21="",99999,MIN(H21,IF(ISNUMBER(M21),M21,H21)))+ROW()/100000,"")</f>
        <v>46333.00021</v>
      </c>
      <c r="U21" s="9" t="n">
        <f aca="false">IF(N(K21)&gt;0,N(L21),0)</f>
        <v>0</v>
      </c>
      <c r="V21" s="9" t="n">
        <f aca="false">IF(AND(N(K21)&gt;0,ISNUMBER(M21)),M21-Setup!$C$11,99999)</f>
        <v>99999</v>
      </c>
    </row>
    <row r="22" customFormat="false" ht="15" hidden="false" customHeight="false" outlineLevel="0" collapsed="false">
      <c r="A22" s="40" t="n">
        <f aca="false">IF(D22="","",ROW()-7)</f>
        <v>15</v>
      </c>
      <c r="B22" s="79" t="n">
        <v>46305</v>
      </c>
      <c r="C22" s="75" t="s">
        <v>132</v>
      </c>
      <c r="D22" s="76" t="s">
        <v>82</v>
      </c>
      <c r="E22" s="80" t="n">
        <v>30444</v>
      </c>
      <c r="F22" s="79"/>
      <c r="G22" s="76"/>
      <c r="H22" s="54" t="n">
        <f aca="false">IF(OR(D22="",B22=""),"",IF(F22&lt;&gt;"",F22,B22+IFERROR(INDEX(Suppliers!$Q$7:$Q$106,MATCH(D22,Suppliers!$B$7:$B$106,0)),Setup!$C$7)))</f>
        <v>46350</v>
      </c>
      <c r="I22" s="46" t="n">
        <f aca="false">IF(OR(D22="",C22=""),IF(D22="","",0),SUMIFS(Payments!$D$8:$D$507,Payments!$C$8:$C$507,D22,Payments!$F$8:$F$507,C22))</f>
        <v>0</v>
      </c>
      <c r="J22" s="46" t="n">
        <f aca="false">IF(D22="","",MIN(P22,MAX(0,R22-Q22)))</f>
        <v>0</v>
      </c>
      <c r="K22" s="47" t="n">
        <f aca="false">IF(D22="","",P22-J22)</f>
        <v>30444</v>
      </c>
      <c r="L22" s="55" t="n">
        <f aca="false">IF(OR(D22="",N(K22)&lt;=0,H22=""),"",MAX(0,Setup!$C$11-H22))</f>
        <v>0</v>
      </c>
      <c r="M22" s="54" t="n">
        <f aca="false">IF(OR(D22="",B22=""),"",IF(IFERROR(INDEX(Suppliers!$S$7:$S$106,MATCH(D22,Suppliers!$B$7:$B$106,0)),"")="","–",B22+IFERROR(INDEX(Suppliers!$S$7:$S$106,MATCH(D22,Suppliers!$B$7:$B$106,0)),"")))</f>
        <v>46350</v>
      </c>
      <c r="N22" s="56" t="str">
        <f aca="false">IF(D22="","",IF(N(K22)&lt;=0,"Paid",IF(AND(ISNUMBER(M22),Setup!$C$11&gt;M22),"⚠ MSME late",IF(N(L22)&gt;0,"Overdue",IF(N(V22)&lt;=Setup!$C$9,"⚠ MSME due soon",IF(K22&lt;E22,"Part paid","Not due"))))))</f>
        <v>Not due</v>
      </c>
      <c r="O22" s="50" t="str">
        <f aca="false">IF(AND(D22="",B22="",C22="",E22=""),"",IF(D22="","⚠ Pick supplier",IF(ISNA(MATCH(D22,Suppliers!$B$7:$B$106,0)),"⚠ Supplier not in list",IF(B22="","⚠ Enter bill date",IF(N(E22)&lt;=0,"⚠ Enter amount",IF(AND(C22&lt;&gt;"",COUNTIFS($D$8:$D$507,D22,$C$8:$C$507,C22)&gt;1),"⚠ Bill no. used twice",IF(N(I22)&gt;N(E22),"⚠ Paid more than bill","✔")))))))</f>
        <v>✔</v>
      </c>
      <c r="P22" s="9" t="n">
        <f aca="false">IF(D22="",0,MAX(0,N(E22)-N(I22)))</f>
        <v>30444</v>
      </c>
      <c r="Q22" s="9" t="n">
        <f aca="false">IF(D22="",0,SUMIFS($P$8:$P$507,$D$8:$D$507,D22,$B$8:$B$507,"&lt;"&amp;B22)+SUMIFS($P$8:P21,$D$8:D21,D22,$B$8:B21,B22))</f>
        <v>30444</v>
      </c>
      <c r="R22" s="9" t="n">
        <f aca="false">IF(D22="",0,IFERROR(INDEX(Suppliers!$R$7:$R$106,MATCH(D22,Suppliers!$B$7:$B$106,0)),0))</f>
        <v>0</v>
      </c>
      <c r="S22" s="57" t="n">
        <f aca="false">IF(N(K22)&gt;0,IF(H22="",99999,MIN(H22,IF(ISNUMBER(M22),M22,H22)))+ROW()/100000,"")</f>
        <v>46350.00022</v>
      </c>
      <c r="U22" s="9" t="n">
        <f aca="false">IF(N(K22)&gt;0,N(L22),0)</f>
        <v>0</v>
      </c>
      <c r="V22" s="9" t="n">
        <f aca="false">IF(AND(N(K22)&gt;0,ISNUMBER(M22)),M22-Setup!$C$11,99999)</f>
        <v>40</v>
      </c>
    </row>
    <row r="23" customFormat="false" ht="15" hidden="false" customHeight="false" outlineLevel="0" collapsed="false">
      <c r="A23" s="40" t="n">
        <f aca="false">IF(D23="","",ROW()-7)</f>
        <v>16</v>
      </c>
      <c r="B23" s="79" t="n">
        <v>46307</v>
      </c>
      <c r="C23" s="75" t="s">
        <v>133</v>
      </c>
      <c r="D23" s="76" t="s">
        <v>97</v>
      </c>
      <c r="E23" s="80" t="n">
        <v>5310</v>
      </c>
      <c r="F23" s="79"/>
      <c r="G23" s="76"/>
      <c r="H23" s="54" t="n">
        <f aca="false">IF(OR(D23="",B23=""),"",IF(F23&lt;&gt;"",F23,B23+IFERROR(INDEX(Suppliers!$Q$7:$Q$106,MATCH(D23,Suppliers!$B$7:$B$106,0)),Setup!$C$7)))</f>
        <v>46322</v>
      </c>
      <c r="I23" s="46" t="n">
        <f aca="false">IF(OR(D23="",C23=""),IF(D23="","",0),SUMIFS(Payments!$D$8:$D$507,Payments!$C$8:$C$507,D23,Payments!$F$8:$F$507,C23))</f>
        <v>0</v>
      </c>
      <c r="J23" s="46" t="n">
        <f aca="false">IF(D23="","",MIN(P23,MAX(0,R23-Q23)))</f>
        <v>0</v>
      </c>
      <c r="K23" s="47" t="n">
        <f aca="false">IF(D23="","",P23-J23)</f>
        <v>5310</v>
      </c>
      <c r="L23" s="55" t="n">
        <f aca="false">IF(OR(D23="",N(K23)&lt;=0,H23=""),"",MAX(0,Setup!$C$11-H23))</f>
        <v>0</v>
      </c>
      <c r="M23" s="54" t="n">
        <f aca="false">IF(OR(D23="",B23=""),"",IF(IFERROR(INDEX(Suppliers!$S$7:$S$106,MATCH(D23,Suppliers!$B$7:$B$106,0)),"")="","–",B23+IFERROR(INDEX(Suppliers!$S$7:$S$106,MATCH(D23,Suppliers!$B$7:$B$106,0)),"")))</f>
        <v>46322</v>
      </c>
      <c r="N23" s="56" t="str">
        <f aca="false">IF(D23="","",IF(N(K23)&lt;=0,"Paid",IF(AND(ISNUMBER(M23),Setup!$C$11&gt;M23),"⚠ MSME late",IF(N(L23)&gt;0,"Overdue",IF(N(V23)&lt;=Setup!$C$9,"⚠ MSME due soon",IF(K23&lt;E23,"Part paid","Not due"))))))</f>
        <v>Not due</v>
      </c>
      <c r="O23" s="50" t="str">
        <f aca="false">IF(AND(D23="",B23="",C23="",E23=""),"",IF(D23="","⚠ Pick supplier",IF(ISNA(MATCH(D23,Suppliers!$B$7:$B$106,0)),"⚠ Supplier not in list",IF(B23="","⚠ Enter bill date",IF(N(E23)&lt;=0,"⚠ Enter amount",IF(AND(C23&lt;&gt;"",COUNTIFS($D$8:$D$507,D23,$C$8:$C$507,C23)&gt;1),"⚠ Bill no. used twice",IF(N(I23)&gt;N(E23),"⚠ Paid more than bill","✔")))))))</f>
        <v>✔</v>
      </c>
      <c r="P23" s="9" t="n">
        <f aca="false">IF(D23="",0,MAX(0,N(E23)-N(I23)))</f>
        <v>5310</v>
      </c>
      <c r="Q23" s="9" t="n">
        <f aca="false">IF(D23="",0,SUMIFS($P$8:$P$507,$D$8:$D$507,D23,$B$8:$B$507,"&lt;"&amp;B23)+SUMIFS($P$8:P22,$D$8:D22,D23,$B$8:B22,B23))</f>
        <v>4720</v>
      </c>
      <c r="R23" s="9" t="n">
        <f aca="false">IF(D23="",0,IFERROR(INDEX(Suppliers!$R$7:$R$106,MATCH(D23,Suppliers!$B$7:$B$106,0)),0))</f>
        <v>0</v>
      </c>
      <c r="S23" s="57" t="n">
        <f aca="false">IF(N(K23)&gt;0,IF(H23="",99999,MIN(H23,IF(ISNUMBER(M23),M23,H23)))+ROW()/100000,"")</f>
        <v>46322.00023</v>
      </c>
      <c r="U23" s="9" t="n">
        <f aca="false">IF(N(K23)&gt;0,N(L23),0)</f>
        <v>0</v>
      </c>
      <c r="V23" s="9" t="n">
        <f aca="false">IF(AND(N(K23)&gt;0,ISNUMBER(M23)),M23-Setup!$C$11,99999)</f>
        <v>12</v>
      </c>
    </row>
    <row r="24" customFormat="false" ht="15" hidden="false" customHeight="false" outlineLevel="0" collapsed="false">
      <c r="A24" s="40" t="n">
        <f aca="false">IF(D24="","",ROW()-7)</f>
        <v>17</v>
      </c>
      <c r="B24" s="79" t="n">
        <v>46308</v>
      </c>
      <c r="C24" s="75" t="s">
        <v>134</v>
      </c>
      <c r="D24" s="76" t="s">
        <v>93</v>
      </c>
      <c r="E24" s="80" t="n">
        <v>17700</v>
      </c>
      <c r="F24" s="79"/>
      <c r="G24" s="76"/>
      <c r="H24" s="54" t="n">
        <f aca="false">IF(OR(D24="",B24=""),"",IF(F24&lt;&gt;"",F24,B24+IFERROR(INDEX(Suppliers!$Q$7:$Q$106,MATCH(D24,Suppliers!$B$7:$B$106,0)),Setup!$C$7)))</f>
        <v>46338</v>
      </c>
      <c r="I24" s="46" t="n">
        <f aca="false">IF(OR(D24="",C24=""),IF(D24="","",0),SUMIFS(Payments!$D$8:$D$507,Payments!$C$8:$C$507,D24,Payments!$F$8:$F$507,C24))</f>
        <v>0</v>
      </c>
      <c r="J24" s="46" t="n">
        <f aca="false">IF(D24="","",MIN(P24,MAX(0,R24-Q24)))</f>
        <v>0</v>
      </c>
      <c r="K24" s="47" t="n">
        <f aca="false">IF(D24="","",P24-J24)</f>
        <v>17700</v>
      </c>
      <c r="L24" s="55" t="n">
        <f aca="false">IF(OR(D24="",N(K24)&lt;=0,H24=""),"",MAX(0,Setup!$C$11-H24))</f>
        <v>0</v>
      </c>
      <c r="M24" s="54" t="str">
        <f aca="false">IF(OR(D24="",B24=""),"",IF(IFERROR(INDEX(Suppliers!$S$7:$S$106,MATCH(D24,Suppliers!$B$7:$B$106,0)),"")="","–",B24+IFERROR(INDEX(Suppliers!$S$7:$S$106,MATCH(D24,Suppliers!$B$7:$B$106,0)),"")))</f>
        <v>–</v>
      </c>
      <c r="N24" s="56" t="str">
        <f aca="false">IF(D24="","",IF(N(K24)&lt;=0,"Paid",IF(AND(ISNUMBER(M24),Setup!$C$11&gt;M24),"⚠ MSME late",IF(N(L24)&gt;0,"Overdue",IF(N(V24)&lt;=Setup!$C$9,"⚠ MSME due soon",IF(K24&lt;E24,"Part paid","Not due"))))))</f>
        <v>Not due</v>
      </c>
      <c r="O24" s="50" t="str">
        <f aca="false">IF(AND(D24="",B24="",C24="",E24=""),"",IF(D24="","⚠ Pick supplier",IF(ISNA(MATCH(D24,Suppliers!$B$7:$B$106,0)),"⚠ Supplier not in list",IF(B24="","⚠ Enter bill date",IF(N(E24)&lt;=0,"⚠ Enter amount",IF(AND(C24&lt;&gt;"",COUNTIFS($D$8:$D$507,D24,$C$8:$C$507,C24)&gt;1),"⚠ Bill no. used twice",IF(N(I24)&gt;N(E24),"⚠ Paid more than bill","✔")))))))</f>
        <v>✔</v>
      </c>
      <c r="P24" s="9" t="n">
        <f aca="false">IF(D24="",0,MAX(0,N(E24)-N(I24)))</f>
        <v>17700</v>
      </c>
      <c r="Q24" s="9" t="n">
        <f aca="false">IF(D24="",0,SUMIFS($P$8:$P$507,$D$8:$D$507,D24,$B$8:$B$507,"&lt;"&amp;B24)+SUMIFS($P$8:P23,$D$8:D23,D24,$B$8:B23,B24))</f>
        <v>68440</v>
      </c>
      <c r="R24" s="9" t="n">
        <f aca="false">IF(D24="",0,IFERROR(INDEX(Suppliers!$R$7:$R$106,MATCH(D24,Suppliers!$B$7:$B$106,0)),0))</f>
        <v>42480</v>
      </c>
      <c r="S24" s="57" t="n">
        <f aca="false">IF(N(K24)&gt;0,IF(H24="",99999,MIN(H24,IF(ISNUMBER(M24),M24,H24)))+ROW()/100000,"")</f>
        <v>46338.00024</v>
      </c>
      <c r="U24" s="9" t="n">
        <f aca="false">IF(N(K24)&gt;0,N(L24),0)</f>
        <v>0</v>
      </c>
      <c r="V24" s="9" t="n">
        <f aca="false">IF(AND(N(K24)&gt;0,ISNUMBER(M24)),M24-Setup!$C$11,99999)</f>
        <v>99999</v>
      </c>
    </row>
    <row r="25" customFormat="false" ht="15" hidden="false" customHeight="false" outlineLevel="0" collapsed="false">
      <c r="A25" s="40" t="str">
        <f aca="false">IF(D25="","",ROW()-7)</f>
        <v/>
      </c>
      <c r="B25" s="79"/>
      <c r="C25" s="75"/>
      <c r="D25" s="76"/>
      <c r="E25" s="80"/>
      <c r="F25" s="79"/>
      <c r="G25" s="76"/>
      <c r="H25" s="54" t="str">
        <f aca="false">IF(OR(D25="",B25=""),"",IF(F25&lt;&gt;"",F25,B25+IFERROR(INDEX(Suppliers!$Q$7:$Q$106,MATCH(D25,Suppliers!$B$7:$B$106,0)),Setup!$C$7)))</f>
        <v/>
      </c>
      <c r="I25" s="46" t="str">
        <f aca="false">IF(OR(D25="",C25=""),IF(D25="","",0),SUMIFS(Payments!$D$8:$D$507,Payments!$C$8:$C$507,D25,Payments!$F$8:$F$507,C25))</f>
        <v/>
      </c>
      <c r="J25" s="46" t="str">
        <f aca="false">IF(D25="","",MIN(P25,MAX(0,R25-Q25)))</f>
        <v/>
      </c>
      <c r="K25" s="47" t="str">
        <f aca="false">IF(D25="","",P25-J25)</f>
        <v/>
      </c>
      <c r="L25" s="55" t="str">
        <f aca="false">IF(OR(D25="",N(K25)&lt;=0,H25=""),"",MAX(0,Setup!$C$11-H25))</f>
        <v/>
      </c>
      <c r="M25" s="54" t="str">
        <f aca="false">IF(OR(D25="",B25=""),"",IF(IFERROR(INDEX(Suppliers!$S$7:$S$106,MATCH(D25,Suppliers!$B$7:$B$106,0)),"")="","–",B25+IFERROR(INDEX(Suppliers!$S$7:$S$106,MATCH(D25,Suppliers!$B$7:$B$106,0)),"")))</f>
        <v/>
      </c>
      <c r="N25" s="56" t="str">
        <f aca="false">IF(D25="","",IF(N(K25)&lt;=0,"Paid",IF(AND(ISNUMBER(M25),Setup!$C$11&gt;M25),"⚠ MSME late",IF(N(L25)&gt;0,"Overdue",IF(N(V25)&lt;=Setup!$C$9,"⚠ MSME due soon",IF(K25&lt;E25,"Part paid","Not due"))))))</f>
        <v/>
      </c>
      <c r="O25" s="50" t="str">
        <f aca="false">IF(AND(D25="",B25="",C25="",E25=""),"",IF(D25="","⚠ Pick supplier",IF(ISNA(MATCH(D25,Suppliers!$B$7:$B$106,0)),"⚠ Supplier not in list",IF(B25="","⚠ Enter bill date",IF(N(E25)&lt;=0,"⚠ Enter amount",IF(AND(C25&lt;&gt;"",COUNTIFS($D$8:$D$507,D25,$C$8:$C$507,C25)&gt;1),"⚠ Bill no. used twice",IF(N(I25)&gt;N(E25),"⚠ Paid more than bill","✔")))))))</f>
        <v/>
      </c>
      <c r="P25" s="9" t="n">
        <f aca="false">IF(D25="",0,MAX(0,N(E25)-N(I25)))</f>
        <v>0</v>
      </c>
      <c r="Q25" s="9" t="n">
        <f aca="false">IF(D25="",0,SUMIFS($P$8:$P$507,$D$8:$D$507,D25,$B$8:$B$507,"&lt;"&amp;B25)+SUMIFS($P$8:P24,$D$8:D24,D25,$B$8:B24,B25))</f>
        <v>0</v>
      </c>
      <c r="R25" s="9" t="n">
        <f aca="false">IF(D25="",0,IFERROR(INDEX(Suppliers!$R$7:$R$106,MATCH(D25,Suppliers!$B$7:$B$106,0)),0))</f>
        <v>0</v>
      </c>
      <c r="S25" s="9" t="str">
        <f aca="false">IF(N(K25)&gt;0,IF(H25="",99999,MIN(H25,IF(ISNUMBER(M25),M25,H25)))+ROW()/100000,"")</f>
        <v/>
      </c>
      <c r="U25" s="9" t="n">
        <f aca="false">IF(N(K25)&gt;0,N(L25),0)</f>
        <v>0</v>
      </c>
      <c r="V25" s="9" t="n">
        <f aca="false">IF(AND(N(K25)&gt;0,ISNUMBER(M25)),M25-Setup!$C$11,99999)</f>
        <v>99999</v>
      </c>
    </row>
    <row r="26" customFormat="false" ht="15" hidden="false" customHeight="false" outlineLevel="0" collapsed="false">
      <c r="A26" s="40" t="str">
        <f aca="false">IF(D26="","",ROW()-7)</f>
        <v/>
      </c>
      <c r="B26" s="79"/>
      <c r="C26" s="75"/>
      <c r="D26" s="76"/>
      <c r="E26" s="80"/>
      <c r="F26" s="79"/>
      <c r="G26" s="76"/>
      <c r="H26" s="54" t="str">
        <f aca="false">IF(OR(D26="",B26=""),"",IF(F26&lt;&gt;"",F26,B26+IFERROR(INDEX(Suppliers!$Q$7:$Q$106,MATCH(D26,Suppliers!$B$7:$B$106,0)),Setup!$C$7)))</f>
        <v/>
      </c>
      <c r="I26" s="46" t="str">
        <f aca="false">IF(OR(D26="",C26=""),IF(D26="","",0),SUMIFS(Payments!$D$8:$D$507,Payments!$C$8:$C$507,D26,Payments!$F$8:$F$507,C26))</f>
        <v/>
      </c>
      <c r="J26" s="46" t="str">
        <f aca="false">IF(D26="","",MIN(P26,MAX(0,R26-Q26)))</f>
        <v/>
      </c>
      <c r="K26" s="47" t="str">
        <f aca="false">IF(D26="","",P26-J26)</f>
        <v/>
      </c>
      <c r="L26" s="55" t="str">
        <f aca="false">IF(OR(D26="",N(K26)&lt;=0,H26=""),"",MAX(0,Setup!$C$11-H26))</f>
        <v/>
      </c>
      <c r="M26" s="54" t="str">
        <f aca="false">IF(OR(D26="",B26=""),"",IF(IFERROR(INDEX(Suppliers!$S$7:$S$106,MATCH(D26,Suppliers!$B$7:$B$106,0)),"")="","–",B26+IFERROR(INDEX(Suppliers!$S$7:$S$106,MATCH(D26,Suppliers!$B$7:$B$106,0)),"")))</f>
        <v/>
      </c>
      <c r="N26" s="56" t="str">
        <f aca="false">IF(D26="","",IF(N(K26)&lt;=0,"Paid",IF(AND(ISNUMBER(M26),Setup!$C$11&gt;M26),"⚠ MSME late",IF(N(L26)&gt;0,"Overdue",IF(N(V26)&lt;=Setup!$C$9,"⚠ MSME due soon",IF(K26&lt;E26,"Part paid","Not due"))))))</f>
        <v/>
      </c>
      <c r="O26" s="50" t="str">
        <f aca="false">IF(AND(D26="",B26="",C26="",E26=""),"",IF(D26="","⚠ Pick supplier",IF(ISNA(MATCH(D26,Suppliers!$B$7:$B$106,0)),"⚠ Supplier not in list",IF(B26="","⚠ Enter bill date",IF(N(E26)&lt;=0,"⚠ Enter amount",IF(AND(C26&lt;&gt;"",COUNTIFS($D$8:$D$507,D26,$C$8:$C$507,C26)&gt;1),"⚠ Bill no. used twice",IF(N(I26)&gt;N(E26),"⚠ Paid more than bill","✔")))))))</f>
        <v/>
      </c>
      <c r="P26" s="9" t="n">
        <f aca="false">IF(D26="",0,MAX(0,N(E26)-N(I26)))</f>
        <v>0</v>
      </c>
      <c r="Q26" s="9" t="n">
        <f aca="false">IF(D26="",0,SUMIFS($P$8:$P$507,$D$8:$D$507,D26,$B$8:$B$507,"&lt;"&amp;B26)+SUMIFS($P$8:P25,$D$8:D25,D26,$B$8:B25,B26))</f>
        <v>0</v>
      </c>
      <c r="R26" s="9" t="n">
        <f aca="false">IF(D26="",0,IFERROR(INDEX(Suppliers!$R$7:$R$106,MATCH(D26,Suppliers!$B$7:$B$106,0)),0))</f>
        <v>0</v>
      </c>
      <c r="S26" s="9" t="str">
        <f aca="false">IF(N(K26)&gt;0,IF(H26="",99999,MIN(H26,IF(ISNUMBER(M26),M26,H26)))+ROW()/100000,"")</f>
        <v/>
      </c>
      <c r="U26" s="9" t="n">
        <f aca="false">IF(N(K26)&gt;0,N(L26),0)</f>
        <v>0</v>
      </c>
      <c r="V26" s="9" t="n">
        <f aca="false">IF(AND(N(K26)&gt;0,ISNUMBER(M26)),M26-Setup!$C$11,99999)</f>
        <v>99999</v>
      </c>
    </row>
    <row r="27" customFormat="false" ht="15" hidden="false" customHeight="false" outlineLevel="0" collapsed="false">
      <c r="A27" s="40" t="str">
        <f aca="false">IF(D27="","",ROW()-7)</f>
        <v/>
      </c>
      <c r="B27" s="79"/>
      <c r="C27" s="75"/>
      <c r="D27" s="76"/>
      <c r="E27" s="80"/>
      <c r="F27" s="79"/>
      <c r="G27" s="76"/>
      <c r="H27" s="54" t="str">
        <f aca="false">IF(OR(D27="",B27=""),"",IF(F27&lt;&gt;"",F27,B27+IFERROR(INDEX(Suppliers!$Q$7:$Q$106,MATCH(D27,Suppliers!$B$7:$B$106,0)),Setup!$C$7)))</f>
        <v/>
      </c>
      <c r="I27" s="46" t="str">
        <f aca="false">IF(OR(D27="",C27=""),IF(D27="","",0),SUMIFS(Payments!$D$8:$D$507,Payments!$C$8:$C$507,D27,Payments!$F$8:$F$507,C27))</f>
        <v/>
      </c>
      <c r="J27" s="46" t="str">
        <f aca="false">IF(D27="","",MIN(P27,MAX(0,R27-Q27)))</f>
        <v/>
      </c>
      <c r="K27" s="47" t="str">
        <f aca="false">IF(D27="","",P27-J27)</f>
        <v/>
      </c>
      <c r="L27" s="55" t="str">
        <f aca="false">IF(OR(D27="",N(K27)&lt;=0,H27=""),"",MAX(0,Setup!$C$11-H27))</f>
        <v/>
      </c>
      <c r="M27" s="54" t="str">
        <f aca="false">IF(OR(D27="",B27=""),"",IF(IFERROR(INDEX(Suppliers!$S$7:$S$106,MATCH(D27,Suppliers!$B$7:$B$106,0)),"")="","–",B27+IFERROR(INDEX(Suppliers!$S$7:$S$106,MATCH(D27,Suppliers!$B$7:$B$106,0)),"")))</f>
        <v/>
      </c>
      <c r="N27" s="56" t="str">
        <f aca="false">IF(D27="","",IF(N(K27)&lt;=0,"Paid",IF(AND(ISNUMBER(M27),Setup!$C$11&gt;M27),"⚠ MSME late",IF(N(L27)&gt;0,"Overdue",IF(N(V27)&lt;=Setup!$C$9,"⚠ MSME due soon",IF(K27&lt;E27,"Part paid","Not due"))))))</f>
        <v/>
      </c>
      <c r="O27" s="50" t="str">
        <f aca="false">IF(AND(D27="",B27="",C27="",E27=""),"",IF(D27="","⚠ Pick supplier",IF(ISNA(MATCH(D27,Suppliers!$B$7:$B$106,0)),"⚠ Supplier not in list",IF(B27="","⚠ Enter bill date",IF(N(E27)&lt;=0,"⚠ Enter amount",IF(AND(C27&lt;&gt;"",COUNTIFS($D$8:$D$507,D27,$C$8:$C$507,C27)&gt;1),"⚠ Bill no. used twice",IF(N(I27)&gt;N(E27),"⚠ Paid more than bill","✔")))))))</f>
        <v/>
      </c>
      <c r="P27" s="9" t="n">
        <f aca="false">IF(D27="",0,MAX(0,N(E27)-N(I27)))</f>
        <v>0</v>
      </c>
      <c r="Q27" s="9" t="n">
        <f aca="false">IF(D27="",0,SUMIFS($P$8:$P$507,$D$8:$D$507,D27,$B$8:$B$507,"&lt;"&amp;B27)+SUMIFS($P$8:P26,$D$8:D26,D27,$B$8:B26,B27))</f>
        <v>0</v>
      </c>
      <c r="R27" s="9" t="n">
        <f aca="false">IF(D27="",0,IFERROR(INDEX(Suppliers!$R$7:$R$106,MATCH(D27,Suppliers!$B$7:$B$106,0)),0))</f>
        <v>0</v>
      </c>
      <c r="S27" s="9" t="str">
        <f aca="false">IF(N(K27)&gt;0,IF(H27="",99999,MIN(H27,IF(ISNUMBER(M27),M27,H27)))+ROW()/100000,"")</f>
        <v/>
      </c>
      <c r="U27" s="9" t="n">
        <f aca="false">IF(N(K27)&gt;0,N(L27),0)</f>
        <v>0</v>
      </c>
      <c r="V27" s="9" t="n">
        <f aca="false">IF(AND(N(K27)&gt;0,ISNUMBER(M27)),M27-Setup!$C$11,99999)</f>
        <v>99999</v>
      </c>
    </row>
    <row r="28" customFormat="false" ht="15" hidden="false" customHeight="false" outlineLevel="0" collapsed="false">
      <c r="A28" s="40" t="str">
        <f aca="false">IF(D28="","",ROW()-7)</f>
        <v/>
      </c>
      <c r="B28" s="79"/>
      <c r="C28" s="75"/>
      <c r="D28" s="76"/>
      <c r="E28" s="80"/>
      <c r="F28" s="79"/>
      <c r="G28" s="76"/>
      <c r="H28" s="54" t="str">
        <f aca="false">IF(OR(D28="",B28=""),"",IF(F28&lt;&gt;"",F28,B28+IFERROR(INDEX(Suppliers!$Q$7:$Q$106,MATCH(D28,Suppliers!$B$7:$B$106,0)),Setup!$C$7)))</f>
        <v/>
      </c>
      <c r="I28" s="46" t="str">
        <f aca="false">IF(OR(D28="",C28=""),IF(D28="","",0),SUMIFS(Payments!$D$8:$D$507,Payments!$C$8:$C$507,D28,Payments!$F$8:$F$507,C28))</f>
        <v/>
      </c>
      <c r="J28" s="46" t="str">
        <f aca="false">IF(D28="","",MIN(P28,MAX(0,R28-Q28)))</f>
        <v/>
      </c>
      <c r="K28" s="47" t="str">
        <f aca="false">IF(D28="","",P28-J28)</f>
        <v/>
      </c>
      <c r="L28" s="55" t="str">
        <f aca="false">IF(OR(D28="",N(K28)&lt;=0,H28=""),"",MAX(0,Setup!$C$11-H28))</f>
        <v/>
      </c>
      <c r="M28" s="54" t="str">
        <f aca="false">IF(OR(D28="",B28=""),"",IF(IFERROR(INDEX(Suppliers!$S$7:$S$106,MATCH(D28,Suppliers!$B$7:$B$106,0)),"")="","–",B28+IFERROR(INDEX(Suppliers!$S$7:$S$106,MATCH(D28,Suppliers!$B$7:$B$106,0)),"")))</f>
        <v/>
      </c>
      <c r="N28" s="56" t="str">
        <f aca="false">IF(D28="","",IF(N(K28)&lt;=0,"Paid",IF(AND(ISNUMBER(M28),Setup!$C$11&gt;M28),"⚠ MSME late",IF(N(L28)&gt;0,"Overdue",IF(N(V28)&lt;=Setup!$C$9,"⚠ MSME due soon",IF(K28&lt;E28,"Part paid","Not due"))))))</f>
        <v/>
      </c>
      <c r="O28" s="50" t="str">
        <f aca="false">IF(AND(D28="",B28="",C28="",E28=""),"",IF(D28="","⚠ Pick supplier",IF(ISNA(MATCH(D28,Suppliers!$B$7:$B$106,0)),"⚠ Supplier not in list",IF(B28="","⚠ Enter bill date",IF(N(E28)&lt;=0,"⚠ Enter amount",IF(AND(C28&lt;&gt;"",COUNTIFS($D$8:$D$507,D28,$C$8:$C$507,C28)&gt;1),"⚠ Bill no. used twice",IF(N(I28)&gt;N(E28),"⚠ Paid more than bill","✔")))))))</f>
        <v/>
      </c>
      <c r="P28" s="9" t="n">
        <f aca="false">IF(D28="",0,MAX(0,N(E28)-N(I28)))</f>
        <v>0</v>
      </c>
      <c r="Q28" s="9" t="n">
        <f aca="false">IF(D28="",0,SUMIFS($P$8:$P$507,$D$8:$D$507,D28,$B$8:$B$507,"&lt;"&amp;B28)+SUMIFS($P$8:P27,$D$8:D27,D28,$B$8:B27,B28))</f>
        <v>0</v>
      </c>
      <c r="R28" s="9" t="n">
        <f aca="false">IF(D28="",0,IFERROR(INDEX(Suppliers!$R$7:$R$106,MATCH(D28,Suppliers!$B$7:$B$106,0)),0))</f>
        <v>0</v>
      </c>
      <c r="S28" s="9" t="str">
        <f aca="false">IF(N(K28)&gt;0,IF(H28="",99999,MIN(H28,IF(ISNUMBER(M28),M28,H28)))+ROW()/100000,"")</f>
        <v/>
      </c>
      <c r="U28" s="9" t="n">
        <f aca="false">IF(N(K28)&gt;0,N(L28),0)</f>
        <v>0</v>
      </c>
      <c r="V28" s="9" t="n">
        <f aca="false">IF(AND(N(K28)&gt;0,ISNUMBER(M28)),M28-Setup!$C$11,99999)</f>
        <v>99999</v>
      </c>
    </row>
    <row r="29" customFormat="false" ht="15" hidden="false" customHeight="false" outlineLevel="0" collapsed="false">
      <c r="A29" s="40" t="str">
        <f aca="false">IF(D29="","",ROW()-7)</f>
        <v/>
      </c>
      <c r="B29" s="79"/>
      <c r="C29" s="75"/>
      <c r="D29" s="76"/>
      <c r="E29" s="80"/>
      <c r="F29" s="79"/>
      <c r="G29" s="76"/>
      <c r="H29" s="54" t="str">
        <f aca="false">IF(OR(D29="",B29=""),"",IF(F29&lt;&gt;"",F29,B29+IFERROR(INDEX(Suppliers!$Q$7:$Q$106,MATCH(D29,Suppliers!$B$7:$B$106,0)),Setup!$C$7)))</f>
        <v/>
      </c>
      <c r="I29" s="46" t="str">
        <f aca="false">IF(OR(D29="",C29=""),IF(D29="","",0),SUMIFS(Payments!$D$8:$D$507,Payments!$C$8:$C$507,D29,Payments!$F$8:$F$507,C29))</f>
        <v/>
      </c>
      <c r="J29" s="46" t="str">
        <f aca="false">IF(D29="","",MIN(P29,MAX(0,R29-Q29)))</f>
        <v/>
      </c>
      <c r="K29" s="47" t="str">
        <f aca="false">IF(D29="","",P29-J29)</f>
        <v/>
      </c>
      <c r="L29" s="55" t="str">
        <f aca="false">IF(OR(D29="",N(K29)&lt;=0,H29=""),"",MAX(0,Setup!$C$11-H29))</f>
        <v/>
      </c>
      <c r="M29" s="54" t="str">
        <f aca="false">IF(OR(D29="",B29=""),"",IF(IFERROR(INDEX(Suppliers!$S$7:$S$106,MATCH(D29,Suppliers!$B$7:$B$106,0)),"")="","–",B29+IFERROR(INDEX(Suppliers!$S$7:$S$106,MATCH(D29,Suppliers!$B$7:$B$106,0)),"")))</f>
        <v/>
      </c>
      <c r="N29" s="56" t="str">
        <f aca="false">IF(D29="","",IF(N(K29)&lt;=0,"Paid",IF(AND(ISNUMBER(M29),Setup!$C$11&gt;M29),"⚠ MSME late",IF(N(L29)&gt;0,"Overdue",IF(N(V29)&lt;=Setup!$C$9,"⚠ MSME due soon",IF(K29&lt;E29,"Part paid","Not due"))))))</f>
        <v/>
      </c>
      <c r="O29" s="50" t="str">
        <f aca="false">IF(AND(D29="",B29="",C29="",E29=""),"",IF(D29="","⚠ Pick supplier",IF(ISNA(MATCH(D29,Suppliers!$B$7:$B$106,0)),"⚠ Supplier not in list",IF(B29="","⚠ Enter bill date",IF(N(E29)&lt;=0,"⚠ Enter amount",IF(AND(C29&lt;&gt;"",COUNTIFS($D$8:$D$507,D29,$C$8:$C$507,C29)&gt;1),"⚠ Bill no. used twice",IF(N(I29)&gt;N(E29),"⚠ Paid more than bill","✔")))))))</f>
        <v/>
      </c>
      <c r="P29" s="9" t="n">
        <f aca="false">IF(D29="",0,MAX(0,N(E29)-N(I29)))</f>
        <v>0</v>
      </c>
      <c r="Q29" s="9" t="n">
        <f aca="false">IF(D29="",0,SUMIFS($P$8:$P$507,$D$8:$D$507,D29,$B$8:$B$507,"&lt;"&amp;B29)+SUMIFS($P$8:P28,$D$8:D28,D29,$B$8:B28,B29))</f>
        <v>0</v>
      </c>
      <c r="R29" s="9" t="n">
        <f aca="false">IF(D29="",0,IFERROR(INDEX(Suppliers!$R$7:$R$106,MATCH(D29,Suppliers!$B$7:$B$106,0)),0))</f>
        <v>0</v>
      </c>
      <c r="S29" s="9" t="str">
        <f aca="false">IF(N(K29)&gt;0,IF(H29="",99999,MIN(H29,IF(ISNUMBER(M29),M29,H29)))+ROW()/100000,"")</f>
        <v/>
      </c>
      <c r="U29" s="9" t="n">
        <f aca="false">IF(N(K29)&gt;0,N(L29),0)</f>
        <v>0</v>
      </c>
      <c r="V29" s="9" t="n">
        <f aca="false">IF(AND(N(K29)&gt;0,ISNUMBER(M29)),M29-Setup!$C$11,99999)</f>
        <v>99999</v>
      </c>
    </row>
    <row r="30" customFormat="false" ht="15" hidden="false" customHeight="false" outlineLevel="0" collapsed="false">
      <c r="A30" s="40" t="str">
        <f aca="false">IF(D30="","",ROW()-7)</f>
        <v/>
      </c>
      <c r="B30" s="79"/>
      <c r="C30" s="75"/>
      <c r="D30" s="76"/>
      <c r="E30" s="80"/>
      <c r="F30" s="79"/>
      <c r="G30" s="76"/>
      <c r="H30" s="54" t="str">
        <f aca="false">IF(OR(D30="",B30=""),"",IF(F30&lt;&gt;"",F30,B30+IFERROR(INDEX(Suppliers!$Q$7:$Q$106,MATCH(D30,Suppliers!$B$7:$B$106,0)),Setup!$C$7)))</f>
        <v/>
      </c>
      <c r="I30" s="46" t="str">
        <f aca="false">IF(OR(D30="",C30=""),IF(D30="","",0),SUMIFS(Payments!$D$8:$D$507,Payments!$C$8:$C$507,D30,Payments!$F$8:$F$507,C30))</f>
        <v/>
      </c>
      <c r="J30" s="46" t="str">
        <f aca="false">IF(D30="","",MIN(P30,MAX(0,R30-Q30)))</f>
        <v/>
      </c>
      <c r="K30" s="47" t="str">
        <f aca="false">IF(D30="","",P30-J30)</f>
        <v/>
      </c>
      <c r="L30" s="55" t="str">
        <f aca="false">IF(OR(D30="",N(K30)&lt;=0,H30=""),"",MAX(0,Setup!$C$11-H30))</f>
        <v/>
      </c>
      <c r="M30" s="54" t="str">
        <f aca="false">IF(OR(D30="",B30=""),"",IF(IFERROR(INDEX(Suppliers!$S$7:$S$106,MATCH(D30,Suppliers!$B$7:$B$106,0)),"")="","–",B30+IFERROR(INDEX(Suppliers!$S$7:$S$106,MATCH(D30,Suppliers!$B$7:$B$106,0)),"")))</f>
        <v/>
      </c>
      <c r="N30" s="56" t="str">
        <f aca="false">IF(D30="","",IF(N(K30)&lt;=0,"Paid",IF(AND(ISNUMBER(M30),Setup!$C$11&gt;M30),"⚠ MSME late",IF(N(L30)&gt;0,"Overdue",IF(N(V30)&lt;=Setup!$C$9,"⚠ MSME due soon",IF(K30&lt;E30,"Part paid","Not due"))))))</f>
        <v/>
      </c>
      <c r="O30" s="50" t="str">
        <f aca="false">IF(AND(D30="",B30="",C30="",E30=""),"",IF(D30="","⚠ Pick supplier",IF(ISNA(MATCH(D30,Suppliers!$B$7:$B$106,0)),"⚠ Supplier not in list",IF(B30="","⚠ Enter bill date",IF(N(E30)&lt;=0,"⚠ Enter amount",IF(AND(C30&lt;&gt;"",COUNTIFS($D$8:$D$507,D30,$C$8:$C$507,C30)&gt;1),"⚠ Bill no. used twice",IF(N(I30)&gt;N(E30),"⚠ Paid more than bill","✔")))))))</f>
        <v/>
      </c>
      <c r="P30" s="9" t="n">
        <f aca="false">IF(D30="",0,MAX(0,N(E30)-N(I30)))</f>
        <v>0</v>
      </c>
      <c r="Q30" s="9" t="n">
        <f aca="false">IF(D30="",0,SUMIFS($P$8:$P$507,$D$8:$D$507,D30,$B$8:$B$507,"&lt;"&amp;B30)+SUMIFS($P$8:P29,$D$8:D29,D30,$B$8:B29,B30))</f>
        <v>0</v>
      </c>
      <c r="R30" s="9" t="n">
        <f aca="false">IF(D30="",0,IFERROR(INDEX(Suppliers!$R$7:$R$106,MATCH(D30,Suppliers!$B$7:$B$106,0)),0))</f>
        <v>0</v>
      </c>
      <c r="S30" s="9" t="str">
        <f aca="false">IF(N(K30)&gt;0,IF(H30="",99999,MIN(H30,IF(ISNUMBER(M30),M30,H30)))+ROW()/100000,"")</f>
        <v/>
      </c>
      <c r="U30" s="9" t="n">
        <f aca="false">IF(N(K30)&gt;0,N(L30),0)</f>
        <v>0</v>
      </c>
      <c r="V30" s="9" t="n">
        <f aca="false">IF(AND(N(K30)&gt;0,ISNUMBER(M30)),M30-Setup!$C$11,99999)</f>
        <v>99999</v>
      </c>
    </row>
    <row r="31" customFormat="false" ht="15" hidden="false" customHeight="false" outlineLevel="0" collapsed="false">
      <c r="A31" s="40" t="str">
        <f aca="false">IF(D31="","",ROW()-7)</f>
        <v/>
      </c>
      <c r="B31" s="79"/>
      <c r="C31" s="75"/>
      <c r="D31" s="76"/>
      <c r="E31" s="80"/>
      <c r="F31" s="79"/>
      <c r="G31" s="76"/>
      <c r="H31" s="54" t="str">
        <f aca="false">IF(OR(D31="",B31=""),"",IF(F31&lt;&gt;"",F31,B31+IFERROR(INDEX(Suppliers!$Q$7:$Q$106,MATCH(D31,Suppliers!$B$7:$B$106,0)),Setup!$C$7)))</f>
        <v/>
      </c>
      <c r="I31" s="46" t="str">
        <f aca="false">IF(OR(D31="",C31=""),IF(D31="","",0),SUMIFS(Payments!$D$8:$D$507,Payments!$C$8:$C$507,D31,Payments!$F$8:$F$507,C31))</f>
        <v/>
      </c>
      <c r="J31" s="46" t="str">
        <f aca="false">IF(D31="","",MIN(P31,MAX(0,R31-Q31)))</f>
        <v/>
      </c>
      <c r="K31" s="47" t="str">
        <f aca="false">IF(D31="","",P31-J31)</f>
        <v/>
      </c>
      <c r="L31" s="55" t="str">
        <f aca="false">IF(OR(D31="",N(K31)&lt;=0,H31=""),"",MAX(0,Setup!$C$11-H31))</f>
        <v/>
      </c>
      <c r="M31" s="54" t="str">
        <f aca="false">IF(OR(D31="",B31=""),"",IF(IFERROR(INDEX(Suppliers!$S$7:$S$106,MATCH(D31,Suppliers!$B$7:$B$106,0)),"")="","–",B31+IFERROR(INDEX(Suppliers!$S$7:$S$106,MATCH(D31,Suppliers!$B$7:$B$106,0)),"")))</f>
        <v/>
      </c>
      <c r="N31" s="56" t="str">
        <f aca="false">IF(D31="","",IF(N(K31)&lt;=0,"Paid",IF(AND(ISNUMBER(M31),Setup!$C$11&gt;M31),"⚠ MSME late",IF(N(L31)&gt;0,"Overdue",IF(N(V31)&lt;=Setup!$C$9,"⚠ MSME due soon",IF(K31&lt;E31,"Part paid","Not due"))))))</f>
        <v/>
      </c>
      <c r="O31" s="50" t="str">
        <f aca="false">IF(AND(D31="",B31="",C31="",E31=""),"",IF(D31="","⚠ Pick supplier",IF(ISNA(MATCH(D31,Suppliers!$B$7:$B$106,0)),"⚠ Supplier not in list",IF(B31="","⚠ Enter bill date",IF(N(E31)&lt;=0,"⚠ Enter amount",IF(AND(C31&lt;&gt;"",COUNTIFS($D$8:$D$507,D31,$C$8:$C$507,C31)&gt;1),"⚠ Bill no. used twice",IF(N(I31)&gt;N(E31),"⚠ Paid more than bill","✔")))))))</f>
        <v/>
      </c>
      <c r="P31" s="9" t="n">
        <f aca="false">IF(D31="",0,MAX(0,N(E31)-N(I31)))</f>
        <v>0</v>
      </c>
      <c r="Q31" s="9" t="n">
        <f aca="false">IF(D31="",0,SUMIFS($P$8:$P$507,$D$8:$D$507,D31,$B$8:$B$507,"&lt;"&amp;B31)+SUMIFS($P$8:P30,$D$8:D30,D31,$B$8:B30,B31))</f>
        <v>0</v>
      </c>
      <c r="R31" s="9" t="n">
        <f aca="false">IF(D31="",0,IFERROR(INDEX(Suppliers!$R$7:$R$106,MATCH(D31,Suppliers!$B$7:$B$106,0)),0))</f>
        <v>0</v>
      </c>
      <c r="S31" s="9" t="str">
        <f aca="false">IF(N(K31)&gt;0,IF(H31="",99999,MIN(H31,IF(ISNUMBER(M31),M31,H31)))+ROW()/100000,"")</f>
        <v/>
      </c>
      <c r="U31" s="9" t="n">
        <f aca="false">IF(N(K31)&gt;0,N(L31),0)</f>
        <v>0</v>
      </c>
      <c r="V31" s="9" t="n">
        <f aca="false">IF(AND(N(K31)&gt;0,ISNUMBER(M31)),M31-Setup!$C$11,99999)</f>
        <v>99999</v>
      </c>
    </row>
    <row r="32" customFormat="false" ht="15" hidden="false" customHeight="false" outlineLevel="0" collapsed="false">
      <c r="A32" s="40" t="str">
        <f aca="false">IF(D32="","",ROW()-7)</f>
        <v/>
      </c>
      <c r="B32" s="79"/>
      <c r="C32" s="75"/>
      <c r="D32" s="76"/>
      <c r="E32" s="80"/>
      <c r="F32" s="79"/>
      <c r="G32" s="76"/>
      <c r="H32" s="54" t="str">
        <f aca="false">IF(OR(D32="",B32=""),"",IF(F32&lt;&gt;"",F32,B32+IFERROR(INDEX(Suppliers!$Q$7:$Q$106,MATCH(D32,Suppliers!$B$7:$B$106,0)),Setup!$C$7)))</f>
        <v/>
      </c>
      <c r="I32" s="46" t="str">
        <f aca="false">IF(OR(D32="",C32=""),IF(D32="","",0),SUMIFS(Payments!$D$8:$D$507,Payments!$C$8:$C$507,D32,Payments!$F$8:$F$507,C32))</f>
        <v/>
      </c>
      <c r="J32" s="46" t="str">
        <f aca="false">IF(D32="","",MIN(P32,MAX(0,R32-Q32)))</f>
        <v/>
      </c>
      <c r="K32" s="47" t="str">
        <f aca="false">IF(D32="","",P32-J32)</f>
        <v/>
      </c>
      <c r="L32" s="55" t="str">
        <f aca="false">IF(OR(D32="",N(K32)&lt;=0,H32=""),"",MAX(0,Setup!$C$11-H32))</f>
        <v/>
      </c>
      <c r="M32" s="54" t="str">
        <f aca="false">IF(OR(D32="",B32=""),"",IF(IFERROR(INDEX(Suppliers!$S$7:$S$106,MATCH(D32,Suppliers!$B$7:$B$106,0)),"")="","–",B32+IFERROR(INDEX(Suppliers!$S$7:$S$106,MATCH(D32,Suppliers!$B$7:$B$106,0)),"")))</f>
        <v/>
      </c>
      <c r="N32" s="56" t="str">
        <f aca="false">IF(D32="","",IF(N(K32)&lt;=0,"Paid",IF(AND(ISNUMBER(M32),Setup!$C$11&gt;M32),"⚠ MSME late",IF(N(L32)&gt;0,"Overdue",IF(N(V32)&lt;=Setup!$C$9,"⚠ MSME due soon",IF(K32&lt;E32,"Part paid","Not due"))))))</f>
        <v/>
      </c>
      <c r="O32" s="50" t="str">
        <f aca="false">IF(AND(D32="",B32="",C32="",E32=""),"",IF(D32="","⚠ Pick supplier",IF(ISNA(MATCH(D32,Suppliers!$B$7:$B$106,0)),"⚠ Supplier not in list",IF(B32="","⚠ Enter bill date",IF(N(E32)&lt;=0,"⚠ Enter amount",IF(AND(C32&lt;&gt;"",COUNTIFS($D$8:$D$507,D32,$C$8:$C$507,C32)&gt;1),"⚠ Bill no. used twice",IF(N(I32)&gt;N(E32),"⚠ Paid more than bill","✔")))))))</f>
        <v/>
      </c>
      <c r="P32" s="9" t="n">
        <f aca="false">IF(D32="",0,MAX(0,N(E32)-N(I32)))</f>
        <v>0</v>
      </c>
      <c r="Q32" s="9" t="n">
        <f aca="false">IF(D32="",0,SUMIFS($P$8:$P$507,$D$8:$D$507,D32,$B$8:$B$507,"&lt;"&amp;B32)+SUMIFS($P$8:P31,$D$8:D31,D32,$B$8:B31,B32))</f>
        <v>0</v>
      </c>
      <c r="R32" s="9" t="n">
        <f aca="false">IF(D32="",0,IFERROR(INDEX(Suppliers!$R$7:$R$106,MATCH(D32,Suppliers!$B$7:$B$106,0)),0))</f>
        <v>0</v>
      </c>
      <c r="S32" s="9" t="str">
        <f aca="false">IF(N(K32)&gt;0,IF(H32="",99999,MIN(H32,IF(ISNUMBER(M32),M32,H32)))+ROW()/100000,"")</f>
        <v/>
      </c>
      <c r="U32" s="9" t="n">
        <f aca="false">IF(N(K32)&gt;0,N(L32),0)</f>
        <v>0</v>
      </c>
      <c r="V32" s="9" t="n">
        <f aca="false">IF(AND(N(K32)&gt;0,ISNUMBER(M32)),M32-Setup!$C$11,99999)</f>
        <v>99999</v>
      </c>
    </row>
    <row r="33" customFormat="false" ht="15" hidden="false" customHeight="false" outlineLevel="0" collapsed="false">
      <c r="A33" s="40" t="str">
        <f aca="false">IF(D33="","",ROW()-7)</f>
        <v/>
      </c>
      <c r="B33" s="79"/>
      <c r="C33" s="75"/>
      <c r="D33" s="76"/>
      <c r="E33" s="80"/>
      <c r="F33" s="79"/>
      <c r="G33" s="76"/>
      <c r="H33" s="54" t="str">
        <f aca="false">IF(OR(D33="",B33=""),"",IF(F33&lt;&gt;"",F33,B33+IFERROR(INDEX(Suppliers!$Q$7:$Q$106,MATCH(D33,Suppliers!$B$7:$B$106,0)),Setup!$C$7)))</f>
        <v/>
      </c>
      <c r="I33" s="46" t="str">
        <f aca="false">IF(OR(D33="",C33=""),IF(D33="","",0),SUMIFS(Payments!$D$8:$D$507,Payments!$C$8:$C$507,D33,Payments!$F$8:$F$507,C33))</f>
        <v/>
      </c>
      <c r="J33" s="46" t="str">
        <f aca="false">IF(D33="","",MIN(P33,MAX(0,R33-Q33)))</f>
        <v/>
      </c>
      <c r="K33" s="47" t="str">
        <f aca="false">IF(D33="","",P33-J33)</f>
        <v/>
      </c>
      <c r="L33" s="55" t="str">
        <f aca="false">IF(OR(D33="",N(K33)&lt;=0,H33=""),"",MAX(0,Setup!$C$11-H33))</f>
        <v/>
      </c>
      <c r="M33" s="54" t="str">
        <f aca="false">IF(OR(D33="",B33=""),"",IF(IFERROR(INDEX(Suppliers!$S$7:$S$106,MATCH(D33,Suppliers!$B$7:$B$106,0)),"")="","–",B33+IFERROR(INDEX(Suppliers!$S$7:$S$106,MATCH(D33,Suppliers!$B$7:$B$106,0)),"")))</f>
        <v/>
      </c>
      <c r="N33" s="56" t="str">
        <f aca="false">IF(D33="","",IF(N(K33)&lt;=0,"Paid",IF(AND(ISNUMBER(M33),Setup!$C$11&gt;M33),"⚠ MSME late",IF(N(L33)&gt;0,"Overdue",IF(N(V33)&lt;=Setup!$C$9,"⚠ MSME due soon",IF(K33&lt;E33,"Part paid","Not due"))))))</f>
        <v/>
      </c>
      <c r="O33" s="50" t="str">
        <f aca="false">IF(AND(D33="",B33="",C33="",E33=""),"",IF(D33="","⚠ Pick supplier",IF(ISNA(MATCH(D33,Suppliers!$B$7:$B$106,0)),"⚠ Supplier not in list",IF(B33="","⚠ Enter bill date",IF(N(E33)&lt;=0,"⚠ Enter amount",IF(AND(C33&lt;&gt;"",COUNTIFS($D$8:$D$507,D33,$C$8:$C$507,C33)&gt;1),"⚠ Bill no. used twice",IF(N(I33)&gt;N(E33),"⚠ Paid more than bill","✔")))))))</f>
        <v/>
      </c>
      <c r="P33" s="9" t="n">
        <f aca="false">IF(D33="",0,MAX(0,N(E33)-N(I33)))</f>
        <v>0</v>
      </c>
      <c r="Q33" s="9" t="n">
        <f aca="false">IF(D33="",0,SUMIFS($P$8:$P$507,$D$8:$D$507,D33,$B$8:$B$507,"&lt;"&amp;B33)+SUMIFS($P$8:P32,$D$8:D32,D33,$B$8:B32,B33))</f>
        <v>0</v>
      </c>
      <c r="R33" s="9" t="n">
        <f aca="false">IF(D33="",0,IFERROR(INDEX(Suppliers!$R$7:$R$106,MATCH(D33,Suppliers!$B$7:$B$106,0)),0))</f>
        <v>0</v>
      </c>
      <c r="S33" s="9" t="str">
        <f aca="false">IF(N(K33)&gt;0,IF(H33="",99999,MIN(H33,IF(ISNUMBER(M33),M33,H33)))+ROW()/100000,"")</f>
        <v/>
      </c>
      <c r="U33" s="9" t="n">
        <f aca="false">IF(N(K33)&gt;0,N(L33),0)</f>
        <v>0</v>
      </c>
      <c r="V33" s="9" t="n">
        <f aca="false">IF(AND(N(K33)&gt;0,ISNUMBER(M33)),M33-Setup!$C$11,99999)</f>
        <v>99999</v>
      </c>
    </row>
    <row r="34" customFormat="false" ht="15" hidden="false" customHeight="false" outlineLevel="0" collapsed="false">
      <c r="A34" s="40" t="str">
        <f aca="false">IF(D34="","",ROW()-7)</f>
        <v/>
      </c>
      <c r="B34" s="79"/>
      <c r="C34" s="75"/>
      <c r="D34" s="76"/>
      <c r="E34" s="80"/>
      <c r="F34" s="79"/>
      <c r="G34" s="76"/>
      <c r="H34" s="54" t="str">
        <f aca="false">IF(OR(D34="",B34=""),"",IF(F34&lt;&gt;"",F34,B34+IFERROR(INDEX(Suppliers!$Q$7:$Q$106,MATCH(D34,Suppliers!$B$7:$B$106,0)),Setup!$C$7)))</f>
        <v/>
      </c>
      <c r="I34" s="46" t="str">
        <f aca="false">IF(OR(D34="",C34=""),IF(D34="","",0),SUMIFS(Payments!$D$8:$D$507,Payments!$C$8:$C$507,D34,Payments!$F$8:$F$507,C34))</f>
        <v/>
      </c>
      <c r="J34" s="46" t="str">
        <f aca="false">IF(D34="","",MIN(P34,MAX(0,R34-Q34)))</f>
        <v/>
      </c>
      <c r="K34" s="47" t="str">
        <f aca="false">IF(D34="","",P34-J34)</f>
        <v/>
      </c>
      <c r="L34" s="55" t="str">
        <f aca="false">IF(OR(D34="",N(K34)&lt;=0,H34=""),"",MAX(0,Setup!$C$11-H34))</f>
        <v/>
      </c>
      <c r="M34" s="54" t="str">
        <f aca="false">IF(OR(D34="",B34=""),"",IF(IFERROR(INDEX(Suppliers!$S$7:$S$106,MATCH(D34,Suppliers!$B$7:$B$106,0)),"")="","–",B34+IFERROR(INDEX(Suppliers!$S$7:$S$106,MATCH(D34,Suppliers!$B$7:$B$106,0)),"")))</f>
        <v/>
      </c>
      <c r="N34" s="56" t="str">
        <f aca="false">IF(D34="","",IF(N(K34)&lt;=0,"Paid",IF(AND(ISNUMBER(M34),Setup!$C$11&gt;M34),"⚠ MSME late",IF(N(L34)&gt;0,"Overdue",IF(N(V34)&lt;=Setup!$C$9,"⚠ MSME due soon",IF(K34&lt;E34,"Part paid","Not due"))))))</f>
        <v/>
      </c>
      <c r="O34" s="50" t="str">
        <f aca="false">IF(AND(D34="",B34="",C34="",E34=""),"",IF(D34="","⚠ Pick supplier",IF(ISNA(MATCH(D34,Suppliers!$B$7:$B$106,0)),"⚠ Supplier not in list",IF(B34="","⚠ Enter bill date",IF(N(E34)&lt;=0,"⚠ Enter amount",IF(AND(C34&lt;&gt;"",COUNTIFS($D$8:$D$507,D34,$C$8:$C$507,C34)&gt;1),"⚠ Bill no. used twice",IF(N(I34)&gt;N(E34),"⚠ Paid more than bill","✔")))))))</f>
        <v/>
      </c>
      <c r="P34" s="9" t="n">
        <f aca="false">IF(D34="",0,MAX(0,N(E34)-N(I34)))</f>
        <v>0</v>
      </c>
      <c r="Q34" s="9" t="n">
        <f aca="false">IF(D34="",0,SUMIFS($P$8:$P$507,$D$8:$D$507,D34,$B$8:$B$507,"&lt;"&amp;B34)+SUMIFS($P$8:P33,$D$8:D33,D34,$B$8:B33,B34))</f>
        <v>0</v>
      </c>
      <c r="R34" s="9" t="n">
        <f aca="false">IF(D34="",0,IFERROR(INDEX(Suppliers!$R$7:$R$106,MATCH(D34,Suppliers!$B$7:$B$106,0)),0))</f>
        <v>0</v>
      </c>
      <c r="S34" s="9" t="str">
        <f aca="false">IF(N(K34)&gt;0,IF(H34="",99999,MIN(H34,IF(ISNUMBER(M34),M34,H34)))+ROW()/100000,"")</f>
        <v/>
      </c>
      <c r="U34" s="9" t="n">
        <f aca="false">IF(N(K34)&gt;0,N(L34),0)</f>
        <v>0</v>
      </c>
      <c r="V34" s="9" t="n">
        <f aca="false">IF(AND(N(K34)&gt;0,ISNUMBER(M34)),M34-Setup!$C$11,99999)</f>
        <v>99999</v>
      </c>
    </row>
    <row r="35" customFormat="false" ht="15" hidden="false" customHeight="false" outlineLevel="0" collapsed="false">
      <c r="A35" s="40" t="str">
        <f aca="false">IF(D35="","",ROW()-7)</f>
        <v/>
      </c>
      <c r="B35" s="79"/>
      <c r="C35" s="75"/>
      <c r="D35" s="76"/>
      <c r="E35" s="80"/>
      <c r="F35" s="79"/>
      <c r="G35" s="76"/>
      <c r="H35" s="54" t="str">
        <f aca="false">IF(OR(D35="",B35=""),"",IF(F35&lt;&gt;"",F35,B35+IFERROR(INDEX(Suppliers!$Q$7:$Q$106,MATCH(D35,Suppliers!$B$7:$B$106,0)),Setup!$C$7)))</f>
        <v/>
      </c>
      <c r="I35" s="46" t="str">
        <f aca="false">IF(OR(D35="",C35=""),IF(D35="","",0),SUMIFS(Payments!$D$8:$D$507,Payments!$C$8:$C$507,D35,Payments!$F$8:$F$507,C35))</f>
        <v/>
      </c>
      <c r="J35" s="46" t="str">
        <f aca="false">IF(D35="","",MIN(P35,MAX(0,R35-Q35)))</f>
        <v/>
      </c>
      <c r="K35" s="47" t="str">
        <f aca="false">IF(D35="","",P35-J35)</f>
        <v/>
      </c>
      <c r="L35" s="55" t="str">
        <f aca="false">IF(OR(D35="",N(K35)&lt;=0,H35=""),"",MAX(0,Setup!$C$11-H35))</f>
        <v/>
      </c>
      <c r="M35" s="54" t="str">
        <f aca="false">IF(OR(D35="",B35=""),"",IF(IFERROR(INDEX(Suppliers!$S$7:$S$106,MATCH(D35,Suppliers!$B$7:$B$106,0)),"")="","–",B35+IFERROR(INDEX(Suppliers!$S$7:$S$106,MATCH(D35,Suppliers!$B$7:$B$106,0)),"")))</f>
        <v/>
      </c>
      <c r="N35" s="56" t="str">
        <f aca="false">IF(D35="","",IF(N(K35)&lt;=0,"Paid",IF(AND(ISNUMBER(M35),Setup!$C$11&gt;M35),"⚠ MSME late",IF(N(L35)&gt;0,"Overdue",IF(N(V35)&lt;=Setup!$C$9,"⚠ MSME due soon",IF(K35&lt;E35,"Part paid","Not due"))))))</f>
        <v/>
      </c>
      <c r="O35" s="50" t="str">
        <f aca="false">IF(AND(D35="",B35="",C35="",E35=""),"",IF(D35="","⚠ Pick supplier",IF(ISNA(MATCH(D35,Suppliers!$B$7:$B$106,0)),"⚠ Supplier not in list",IF(B35="","⚠ Enter bill date",IF(N(E35)&lt;=0,"⚠ Enter amount",IF(AND(C35&lt;&gt;"",COUNTIFS($D$8:$D$507,D35,$C$8:$C$507,C35)&gt;1),"⚠ Bill no. used twice",IF(N(I35)&gt;N(E35),"⚠ Paid more than bill","✔")))))))</f>
        <v/>
      </c>
      <c r="P35" s="9" t="n">
        <f aca="false">IF(D35="",0,MAX(0,N(E35)-N(I35)))</f>
        <v>0</v>
      </c>
      <c r="Q35" s="9" t="n">
        <f aca="false">IF(D35="",0,SUMIFS($P$8:$P$507,$D$8:$D$507,D35,$B$8:$B$507,"&lt;"&amp;B35)+SUMIFS($P$8:P34,$D$8:D34,D35,$B$8:B34,B35))</f>
        <v>0</v>
      </c>
      <c r="R35" s="9" t="n">
        <f aca="false">IF(D35="",0,IFERROR(INDEX(Suppliers!$R$7:$R$106,MATCH(D35,Suppliers!$B$7:$B$106,0)),0))</f>
        <v>0</v>
      </c>
      <c r="S35" s="9" t="str">
        <f aca="false">IF(N(K35)&gt;0,IF(H35="",99999,MIN(H35,IF(ISNUMBER(M35),M35,H35)))+ROW()/100000,"")</f>
        <v/>
      </c>
      <c r="U35" s="9" t="n">
        <f aca="false">IF(N(K35)&gt;0,N(L35),0)</f>
        <v>0</v>
      </c>
      <c r="V35" s="9" t="n">
        <f aca="false">IF(AND(N(K35)&gt;0,ISNUMBER(M35)),M35-Setup!$C$11,99999)</f>
        <v>99999</v>
      </c>
    </row>
    <row r="36" customFormat="false" ht="15" hidden="false" customHeight="false" outlineLevel="0" collapsed="false">
      <c r="A36" s="40" t="str">
        <f aca="false">IF(D36="","",ROW()-7)</f>
        <v/>
      </c>
      <c r="B36" s="79"/>
      <c r="C36" s="75"/>
      <c r="D36" s="76"/>
      <c r="E36" s="80"/>
      <c r="F36" s="79"/>
      <c r="G36" s="76"/>
      <c r="H36" s="54" t="str">
        <f aca="false">IF(OR(D36="",B36=""),"",IF(F36&lt;&gt;"",F36,B36+IFERROR(INDEX(Suppliers!$Q$7:$Q$106,MATCH(D36,Suppliers!$B$7:$B$106,0)),Setup!$C$7)))</f>
        <v/>
      </c>
      <c r="I36" s="46" t="str">
        <f aca="false">IF(OR(D36="",C36=""),IF(D36="","",0),SUMIFS(Payments!$D$8:$D$507,Payments!$C$8:$C$507,D36,Payments!$F$8:$F$507,C36))</f>
        <v/>
      </c>
      <c r="J36" s="46" t="str">
        <f aca="false">IF(D36="","",MIN(P36,MAX(0,R36-Q36)))</f>
        <v/>
      </c>
      <c r="K36" s="47" t="str">
        <f aca="false">IF(D36="","",P36-J36)</f>
        <v/>
      </c>
      <c r="L36" s="55" t="str">
        <f aca="false">IF(OR(D36="",N(K36)&lt;=0,H36=""),"",MAX(0,Setup!$C$11-H36))</f>
        <v/>
      </c>
      <c r="M36" s="54" t="str">
        <f aca="false">IF(OR(D36="",B36=""),"",IF(IFERROR(INDEX(Suppliers!$S$7:$S$106,MATCH(D36,Suppliers!$B$7:$B$106,0)),"")="","–",B36+IFERROR(INDEX(Suppliers!$S$7:$S$106,MATCH(D36,Suppliers!$B$7:$B$106,0)),"")))</f>
        <v/>
      </c>
      <c r="N36" s="56" t="str">
        <f aca="false">IF(D36="","",IF(N(K36)&lt;=0,"Paid",IF(AND(ISNUMBER(M36),Setup!$C$11&gt;M36),"⚠ MSME late",IF(N(L36)&gt;0,"Overdue",IF(N(V36)&lt;=Setup!$C$9,"⚠ MSME due soon",IF(K36&lt;E36,"Part paid","Not due"))))))</f>
        <v/>
      </c>
      <c r="O36" s="50" t="str">
        <f aca="false">IF(AND(D36="",B36="",C36="",E36=""),"",IF(D36="","⚠ Pick supplier",IF(ISNA(MATCH(D36,Suppliers!$B$7:$B$106,0)),"⚠ Supplier not in list",IF(B36="","⚠ Enter bill date",IF(N(E36)&lt;=0,"⚠ Enter amount",IF(AND(C36&lt;&gt;"",COUNTIFS($D$8:$D$507,D36,$C$8:$C$507,C36)&gt;1),"⚠ Bill no. used twice",IF(N(I36)&gt;N(E36),"⚠ Paid more than bill","✔")))))))</f>
        <v/>
      </c>
      <c r="P36" s="9" t="n">
        <f aca="false">IF(D36="",0,MAX(0,N(E36)-N(I36)))</f>
        <v>0</v>
      </c>
      <c r="Q36" s="9" t="n">
        <f aca="false">IF(D36="",0,SUMIFS($P$8:$P$507,$D$8:$D$507,D36,$B$8:$B$507,"&lt;"&amp;B36)+SUMIFS($P$8:P35,$D$8:D35,D36,$B$8:B35,B36))</f>
        <v>0</v>
      </c>
      <c r="R36" s="9" t="n">
        <f aca="false">IF(D36="",0,IFERROR(INDEX(Suppliers!$R$7:$R$106,MATCH(D36,Suppliers!$B$7:$B$106,0)),0))</f>
        <v>0</v>
      </c>
      <c r="S36" s="9" t="str">
        <f aca="false">IF(N(K36)&gt;0,IF(H36="",99999,MIN(H36,IF(ISNUMBER(M36),M36,H36)))+ROW()/100000,"")</f>
        <v/>
      </c>
      <c r="U36" s="9" t="n">
        <f aca="false">IF(N(K36)&gt;0,N(L36),0)</f>
        <v>0</v>
      </c>
      <c r="V36" s="9" t="n">
        <f aca="false">IF(AND(N(K36)&gt;0,ISNUMBER(M36)),M36-Setup!$C$11,99999)</f>
        <v>99999</v>
      </c>
    </row>
    <row r="37" customFormat="false" ht="15" hidden="false" customHeight="false" outlineLevel="0" collapsed="false">
      <c r="A37" s="40" t="str">
        <f aca="false">IF(D37="","",ROW()-7)</f>
        <v/>
      </c>
      <c r="B37" s="79"/>
      <c r="C37" s="75"/>
      <c r="D37" s="76"/>
      <c r="E37" s="80"/>
      <c r="F37" s="79"/>
      <c r="G37" s="76"/>
      <c r="H37" s="54" t="str">
        <f aca="false">IF(OR(D37="",B37=""),"",IF(F37&lt;&gt;"",F37,B37+IFERROR(INDEX(Suppliers!$Q$7:$Q$106,MATCH(D37,Suppliers!$B$7:$B$106,0)),Setup!$C$7)))</f>
        <v/>
      </c>
      <c r="I37" s="46" t="str">
        <f aca="false">IF(OR(D37="",C37=""),IF(D37="","",0),SUMIFS(Payments!$D$8:$D$507,Payments!$C$8:$C$507,D37,Payments!$F$8:$F$507,C37))</f>
        <v/>
      </c>
      <c r="J37" s="46" t="str">
        <f aca="false">IF(D37="","",MIN(P37,MAX(0,R37-Q37)))</f>
        <v/>
      </c>
      <c r="K37" s="47" t="str">
        <f aca="false">IF(D37="","",P37-J37)</f>
        <v/>
      </c>
      <c r="L37" s="55" t="str">
        <f aca="false">IF(OR(D37="",N(K37)&lt;=0,H37=""),"",MAX(0,Setup!$C$11-H37))</f>
        <v/>
      </c>
      <c r="M37" s="54" t="str">
        <f aca="false">IF(OR(D37="",B37=""),"",IF(IFERROR(INDEX(Suppliers!$S$7:$S$106,MATCH(D37,Suppliers!$B$7:$B$106,0)),"")="","–",B37+IFERROR(INDEX(Suppliers!$S$7:$S$106,MATCH(D37,Suppliers!$B$7:$B$106,0)),"")))</f>
        <v/>
      </c>
      <c r="N37" s="56" t="str">
        <f aca="false">IF(D37="","",IF(N(K37)&lt;=0,"Paid",IF(AND(ISNUMBER(M37),Setup!$C$11&gt;M37),"⚠ MSME late",IF(N(L37)&gt;0,"Overdue",IF(N(V37)&lt;=Setup!$C$9,"⚠ MSME due soon",IF(K37&lt;E37,"Part paid","Not due"))))))</f>
        <v/>
      </c>
      <c r="O37" s="50" t="str">
        <f aca="false">IF(AND(D37="",B37="",C37="",E37=""),"",IF(D37="","⚠ Pick supplier",IF(ISNA(MATCH(D37,Suppliers!$B$7:$B$106,0)),"⚠ Supplier not in list",IF(B37="","⚠ Enter bill date",IF(N(E37)&lt;=0,"⚠ Enter amount",IF(AND(C37&lt;&gt;"",COUNTIFS($D$8:$D$507,D37,$C$8:$C$507,C37)&gt;1),"⚠ Bill no. used twice",IF(N(I37)&gt;N(E37),"⚠ Paid more than bill","✔")))))))</f>
        <v/>
      </c>
      <c r="P37" s="9" t="n">
        <f aca="false">IF(D37="",0,MAX(0,N(E37)-N(I37)))</f>
        <v>0</v>
      </c>
      <c r="Q37" s="9" t="n">
        <f aca="false">IF(D37="",0,SUMIFS($P$8:$P$507,$D$8:$D$507,D37,$B$8:$B$507,"&lt;"&amp;B37)+SUMIFS($P$8:P36,$D$8:D36,D37,$B$8:B36,B37))</f>
        <v>0</v>
      </c>
      <c r="R37" s="9" t="n">
        <f aca="false">IF(D37="",0,IFERROR(INDEX(Suppliers!$R$7:$R$106,MATCH(D37,Suppliers!$B$7:$B$106,0)),0))</f>
        <v>0</v>
      </c>
      <c r="S37" s="9" t="str">
        <f aca="false">IF(N(K37)&gt;0,IF(H37="",99999,MIN(H37,IF(ISNUMBER(M37),M37,H37)))+ROW()/100000,"")</f>
        <v/>
      </c>
      <c r="U37" s="9" t="n">
        <f aca="false">IF(N(K37)&gt;0,N(L37),0)</f>
        <v>0</v>
      </c>
      <c r="V37" s="9" t="n">
        <f aca="false">IF(AND(N(K37)&gt;0,ISNUMBER(M37)),M37-Setup!$C$11,99999)</f>
        <v>99999</v>
      </c>
    </row>
    <row r="38" customFormat="false" ht="15" hidden="false" customHeight="false" outlineLevel="0" collapsed="false">
      <c r="A38" s="40" t="str">
        <f aca="false">IF(D38="","",ROW()-7)</f>
        <v/>
      </c>
      <c r="B38" s="79"/>
      <c r="C38" s="75"/>
      <c r="D38" s="76"/>
      <c r="E38" s="80"/>
      <c r="F38" s="79"/>
      <c r="G38" s="76"/>
      <c r="H38" s="54" t="str">
        <f aca="false">IF(OR(D38="",B38=""),"",IF(F38&lt;&gt;"",F38,B38+IFERROR(INDEX(Suppliers!$Q$7:$Q$106,MATCH(D38,Suppliers!$B$7:$B$106,0)),Setup!$C$7)))</f>
        <v/>
      </c>
      <c r="I38" s="46" t="str">
        <f aca="false">IF(OR(D38="",C38=""),IF(D38="","",0),SUMIFS(Payments!$D$8:$D$507,Payments!$C$8:$C$507,D38,Payments!$F$8:$F$507,C38))</f>
        <v/>
      </c>
      <c r="J38" s="46" t="str">
        <f aca="false">IF(D38="","",MIN(P38,MAX(0,R38-Q38)))</f>
        <v/>
      </c>
      <c r="K38" s="47" t="str">
        <f aca="false">IF(D38="","",P38-J38)</f>
        <v/>
      </c>
      <c r="L38" s="55" t="str">
        <f aca="false">IF(OR(D38="",N(K38)&lt;=0,H38=""),"",MAX(0,Setup!$C$11-H38))</f>
        <v/>
      </c>
      <c r="M38" s="54" t="str">
        <f aca="false">IF(OR(D38="",B38=""),"",IF(IFERROR(INDEX(Suppliers!$S$7:$S$106,MATCH(D38,Suppliers!$B$7:$B$106,0)),"")="","–",B38+IFERROR(INDEX(Suppliers!$S$7:$S$106,MATCH(D38,Suppliers!$B$7:$B$106,0)),"")))</f>
        <v/>
      </c>
      <c r="N38" s="56" t="str">
        <f aca="false">IF(D38="","",IF(N(K38)&lt;=0,"Paid",IF(AND(ISNUMBER(M38),Setup!$C$11&gt;M38),"⚠ MSME late",IF(N(L38)&gt;0,"Overdue",IF(N(V38)&lt;=Setup!$C$9,"⚠ MSME due soon",IF(K38&lt;E38,"Part paid","Not due"))))))</f>
        <v/>
      </c>
      <c r="O38" s="50" t="str">
        <f aca="false">IF(AND(D38="",B38="",C38="",E38=""),"",IF(D38="","⚠ Pick supplier",IF(ISNA(MATCH(D38,Suppliers!$B$7:$B$106,0)),"⚠ Supplier not in list",IF(B38="","⚠ Enter bill date",IF(N(E38)&lt;=0,"⚠ Enter amount",IF(AND(C38&lt;&gt;"",COUNTIFS($D$8:$D$507,D38,$C$8:$C$507,C38)&gt;1),"⚠ Bill no. used twice",IF(N(I38)&gt;N(E38),"⚠ Paid more than bill","✔")))))))</f>
        <v/>
      </c>
      <c r="P38" s="9" t="n">
        <f aca="false">IF(D38="",0,MAX(0,N(E38)-N(I38)))</f>
        <v>0</v>
      </c>
      <c r="Q38" s="9" t="n">
        <f aca="false">IF(D38="",0,SUMIFS($P$8:$P$507,$D$8:$D$507,D38,$B$8:$B$507,"&lt;"&amp;B38)+SUMIFS($P$8:P37,$D$8:D37,D38,$B$8:B37,B38))</f>
        <v>0</v>
      </c>
      <c r="R38" s="9" t="n">
        <f aca="false">IF(D38="",0,IFERROR(INDEX(Suppliers!$R$7:$R$106,MATCH(D38,Suppliers!$B$7:$B$106,0)),0))</f>
        <v>0</v>
      </c>
      <c r="S38" s="9" t="str">
        <f aca="false">IF(N(K38)&gt;0,IF(H38="",99999,MIN(H38,IF(ISNUMBER(M38),M38,H38)))+ROW()/100000,"")</f>
        <v/>
      </c>
      <c r="U38" s="9" t="n">
        <f aca="false">IF(N(K38)&gt;0,N(L38),0)</f>
        <v>0</v>
      </c>
      <c r="V38" s="9" t="n">
        <f aca="false">IF(AND(N(K38)&gt;0,ISNUMBER(M38)),M38-Setup!$C$11,99999)</f>
        <v>99999</v>
      </c>
    </row>
    <row r="39" customFormat="false" ht="15" hidden="false" customHeight="false" outlineLevel="0" collapsed="false">
      <c r="A39" s="40" t="str">
        <f aca="false">IF(D39="","",ROW()-7)</f>
        <v/>
      </c>
      <c r="B39" s="79"/>
      <c r="C39" s="75"/>
      <c r="D39" s="76"/>
      <c r="E39" s="80"/>
      <c r="F39" s="79"/>
      <c r="G39" s="76"/>
      <c r="H39" s="54" t="str">
        <f aca="false">IF(OR(D39="",B39=""),"",IF(F39&lt;&gt;"",F39,B39+IFERROR(INDEX(Suppliers!$Q$7:$Q$106,MATCH(D39,Suppliers!$B$7:$B$106,0)),Setup!$C$7)))</f>
        <v/>
      </c>
      <c r="I39" s="46" t="str">
        <f aca="false">IF(OR(D39="",C39=""),IF(D39="","",0),SUMIFS(Payments!$D$8:$D$507,Payments!$C$8:$C$507,D39,Payments!$F$8:$F$507,C39))</f>
        <v/>
      </c>
      <c r="J39" s="46" t="str">
        <f aca="false">IF(D39="","",MIN(P39,MAX(0,R39-Q39)))</f>
        <v/>
      </c>
      <c r="K39" s="47" t="str">
        <f aca="false">IF(D39="","",P39-J39)</f>
        <v/>
      </c>
      <c r="L39" s="55" t="str">
        <f aca="false">IF(OR(D39="",N(K39)&lt;=0,H39=""),"",MAX(0,Setup!$C$11-H39))</f>
        <v/>
      </c>
      <c r="M39" s="54" t="str">
        <f aca="false">IF(OR(D39="",B39=""),"",IF(IFERROR(INDEX(Suppliers!$S$7:$S$106,MATCH(D39,Suppliers!$B$7:$B$106,0)),"")="","–",B39+IFERROR(INDEX(Suppliers!$S$7:$S$106,MATCH(D39,Suppliers!$B$7:$B$106,0)),"")))</f>
        <v/>
      </c>
      <c r="N39" s="56" t="str">
        <f aca="false">IF(D39="","",IF(N(K39)&lt;=0,"Paid",IF(AND(ISNUMBER(M39),Setup!$C$11&gt;M39),"⚠ MSME late",IF(N(L39)&gt;0,"Overdue",IF(N(V39)&lt;=Setup!$C$9,"⚠ MSME due soon",IF(K39&lt;E39,"Part paid","Not due"))))))</f>
        <v/>
      </c>
      <c r="O39" s="50" t="str">
        <f aca="false">IF(AND(D39="",B39="",C39="",E39=""),"",IF(D39="","⚠ Pick supplier",IF(ISNA(MATCH(D39,Suppliers!$B$7:$B$106,0)),"⚠ Supplier not in list",IF(B39="","⚠ Enter bill date",IF(N(E39)&lt;=0,"⚠ Enter amount",IF(AND(C39&lt;&gt;"",COUNTIFS($D$8:$D$507,D39,$C$8:$C$507,C39)&gt;1),"⚠ Bill no. used twice",IF(N(I39)&gt;N(E39),"⚠ Paid more than bill","✔")))))))</f>
        <v/>
      </c>
      <c r="P39" s="9" t="n">
        <f aca="false">IF(D39="",0,MAX(0,N(E39)-N(I39)))</f>
        <v>0</v>
      </c>
      <c r="Q39" s="9" t="n">
        <f aca="false">IF(D39="",0,SUMIFS($P$8:$P$507,$D$8:$D$507,D39,$B$8:$B$507,"&lt;"&amp;B39)+SUMIFS($P$8:P38,$D$8:D38,D39,$B$8:B38,B39))</f>
        <v>0</v>
      </c>
      <c r="R39" s="9" t="n">
        <f aca="false">IF(D39="",0,IFERROR(INDEX(Suppliers!$R$7:$R$106,MATCH(D39,Suppliers!$B$7:$B$106,0)),0))</f>
        <v>0</v>
      </c>
      <c r="S39" s="9" t="str">
        <f aca="false">IF(N(K39)&gt;0,IF(H39="",99999,MIN(H39,IF(ISNUMBER(M39),M39,H39)))+ROW()/100000,"")</f>
        <v/>
      </c>
      <c r="U39" s="9" t="n">
        <f aca="false">IF(N(K39)&gt;0,N(L39),0)</f>
        <v>0</v>
      </c>
      <c r="V39" s="9" t="n">
        <f aca="false">IF(AND(N(K39)&gt;0,ISNUMBER(M39)),M39-Setup!$C$11,99999)</f>
        <v>99999</v>
      </c>
    </row>
    <row r="40" customFormat="false" ht="15" hidden="false" customHeight="false" outlineLevel="0" collapsed="false">
      <c r="A40" s="40" t="str">
        <f aca="false">IF(D40="","",ROW()-7)</f>
        <v/>
      </c>
      <c r="B40" s="79"/>
      <c r="C40" s="75"/>
      <c r="D40" s="76"/>
      <c r="E40" s="80"/>
      <c r="F40" s="79"/>
      <c r="G40" s="76"/>
      <c r="H40" s="54" t="str">
        <f aca="false">IF(OR(D40="",B40=""),"",IF(F40&lt;&gt;"",F40,B40+IFERROR(INDEX(Suppliers!$Q$7:$Q$106,MATCH(D40,Suppliers!$B$7:$B$106,0)),Setup!$C$7)))</f>
        <v/>
      </c>
      <c r="I40" s="46" t="str">
        <f aca="false">IF(OR(D40="",C40=""),IF(D40="","",0),SUMIFS(Payments!$D$8:$D$507,Payments!$C$8:$C$507,D40,Payments!$F$8:$F$507,C40))</f>
        <v/>
      </c>
      <c r="J40" s="46" t="str">
        <f aca="false">IF(D40="","",MIN(P40,MAX(0,R40-Q40)))</f>
        <v/>
      </c>
      <c r="K40" s="47" t="str">
        <f aca="false">IF(D40="","",P40-J40)</f>
        <v/>
      </c>
      <c r="L40" s="55" t="str">
        <f aca="false">IF(OR(D40="",N(K40)&lt;=0,H40=""),"",MAX(0,Setup!$C$11-H40))</f>
        <v/>
      </c>
      <c r="M40" s="54" t="str">
        <f aca="false">IF(OR(D40="",B40=""),"",IF(IFERROR(INDEX(Suppliers!$S$7:$S$106,MATCH(D40,Suppliers!$B$7:$B$106,0)),"")="","–",B40+IFERROR(INDEX(Suppliers!$S$7:$S$106,MATCH(D40,Suppliers!$B$7:$B$106,0)),"")))</f>
        <v/>
      </c>
      <c r="N40" s="56" t="str">
        <f aca="false">IF(D40="","",IF(N(K40)&lt;=0,"Paid",IF(AND(ISNUMBER(M40),Setup!$C$11&gt;M40),"⚠ MSME late",IF(N(L40)&gt;0,"Overdue",IF(N(V40)&lt;=Setup!$C$9,"⚠ MSME due soon",IF(K40&lt;E40,"Part paid","Not due"))))))</f>
        <v/>
      </c>
      <c r="O40" s="50" t="str">
        <f aca="false">IF(AND(D40="",B40="",C40="",E40=""),"",IF(D40="","⚠ Pick supplier",IF(ISNA(MATCH(D40,Suppliers!$B$7:$B$106,0)),"⚠ Supplier not in list",IF(B40="","⚠ Enter bill date",IF(N(E40)&lt;=0,"⚠ Enter amount",IF(AND(C40&lt;&gt;"",COUNTIFS($D$8:$D$507,D40,$C$8:$C$507,C40)&gt;1),"⚠ Bill no. used twice",IF(N(I40)&gt;N(E40),"⚠ Paid more than bill","✔")))))))</f>
        <v/>
      </c>
      <c r="P40" s="9" t="n">
        <f aca="false">IF(D40="",0,MAX(0,N(E40)-N(I40)))</f>
        <v>0</v>
      </c>
      <c r="Q40" s="9" t="n">
        <f aca="false">IF(D40="",0,SUMIFS($P$8:$P$507,$D$8:$D$507,D40,$B$8:$B$507,"&lt;"&amp;B40)+SUMIFS($P$8:P39,$D$8:D39,D40,$B$8:B39,B40))</f>
        <v>0</v>
      </c>
      <c r="R40" s="9" t="n">
        <f aca="false">IF(D40="",0,IFERROR(INDEX(Suppliers!$R$7:$R$106,MATCH(D40,Suppliers!$B$7:$B$106,0)),0))</f>
        <v>0</v>
      </c>
      <c r="S40" s="9" t="str">
        <f aca="false">IF(N(K40)&gt;0,IF(H40="",99999,MIN(H40,IF(ISNUMBER(M40),M40,H40)))+ROW()/100000,"")</f>
        <v/>
      </c>
      <c r="U40" s="9" t="n">
        <f aca="false">IF(N(K40)&gt;0,N(L40),0)</f>
        <v>0</v>
      </c>
      <c r="V40" s="9" t="n">
        <f aca="false">IF(AND(N(K40)&gt;0,ISNUMBER(M40)),M40-Setup!$C$11,99999)</f>
        <v>99999</v>
      </c>
    </row>
    <row r="41" customFormat="false" ht="15" hidden="false" customHeight="false" outlineLevel="0" collapsed="false">
      <c r="A41" s="40" t="str">
        <f aca="false">IF(D41="","",ROW()-7)</f>
        <v/>
      </c>
      <c r="B41" s="79"/>
      <c r="C41" s="75"/>
      <c r="D41" s="76"/>
      <c r="E41" s="80"/>
      <c r="F41" s="79"/>
      <c r="G41" s="76"/>
      <c r="H41" s="54" t="str">
        <f aca="false">IF(OR(D41="",B41=""),"",IF(F41&lt;&gt;"",F41,B41+IFERROR(INDEX(Suppliers!$Q$7:$Q$106,MATCH(D41,Suppliers!$B$7:$B$106,0)),Setup!$C$7)))</f>
        <v/>
      </c>
      <c r="I41" s="46" t="str">
        <f aca="false">IF(OR(D41="",C41=""),IF(D41="","",0),SUMIFS(Payments!$D$8:$D$507,Payments!$C$8:$C$507,D41,Payments!$F$8:$F$507,C41))</f>
        <v/>
      </c>
      <c r="J41" s="46" t="str">
        <f aca="false">IF(D41="","",MIN(P41,MAX(0,R41-Q41)))</f>
        <v/>
      </c>
      <c r="K41" s="47" t="str">
        <f aca="false">IF(D41="","",P41-J41)</f>
        <v/>
      </c>
      <c r="L41" s="55" t="str">
        <f aca="false">IF(OR(D41="",N(K41)&lt;=0,H41=""),"",MAX(0,Setup!$C$11-H41))</f>
        <v/>
      </c>
      <c r="M41" s="54" t="str">
        <f aca="false">IF(OR(D41="",B41=""),"",IF(IFERROR(INDEX(Suppliers!$S$7:$S$106,MATCH(D41,Suppliers!$B$7:$B$106,0)),"")="","–",B41+IFERROR(INDEX(Suppliers!$S$7:$S$106,MATCH(D41,Suppliers!$B$7:$B$106,0)),"")))</f>
        <v/>
      </c>
      <c r="N41" s="56" t="str">
        <f aca="false">IF(D41="","",IF(N(K41)&lt;=0,"Paid",IF(AND(ISNUMBER(M41),Setup!$C$11&gt;M41),"⚠ MSME late",IF(N(L41)&gt;0,"Overdue",IF(N(V41)&lt;=Setup!$C$9,"⚠ MSME due soon",IF(K41&lt;E41,"Part paid","Not due"))))))</f>
        <v/>
      </c>
      <c r="O41" s="50" t="str">
        <f aca="false">IF(AND(D41="",B41="",C41="",E41=""),"",IF(D41="","⚠ Pick supplier",IF(ISNA(MATCH(D41,Suppliers!$B$7:$B$106,0)),"⚠ Supplier not in list",IF(B41="","⚠ Enter bill date",IF(N(E41)&lt;=0,"⚠ Enter amount",IF(AND(C41&lt;&gt;"",COUNTIFS($D$8:$D$507,D41,$C$8:$C$507,C41)&gt;1),"⚠ Bill no. used twice",IF(N(I41)&gt;N(E41),"⚠ Paid more than bill","✔")))))))</f>
        <v/>
      </c>
      <c r="P41" s="9" t="n">
        <f aca="false">IF(D41="",0,MAX(0,N(E41)-N(I41)))</f>
        <v>0</v>
      </c>
      <c r="Q41" s="9" t="n">
        <f aca="false">IF(D41="",0,SUMIFS($P$8:$P$507,$D$8:$D$507,D41,$B$8:$B$507,"&lt;"&amp;B41)+SUMIFS($P$8:P40,$D$8:D40,D41,$B$8:B40,B41))</f>
        <v>0</v>
      </c>
      <c r="R41" s="9" t="n">
        <f aca="false">IF(D41="",0,IFERROR(INDEX(Suppliers!$R$7:$R$106,MATCH(D41,Suppliers!$B$7:$B$106,0)),0))</f>
        <v>0</v>
      </c>
      <c r="S41" s="9" t="str">
        <f aca="false">IF(N(K41)&gt;0,IF(H41="",99999,MIN(H41,IF(ISNUMBER(M41),M41,H41)))+ROW()/100000,"")</f>
        <v/>
      </c>
      <c r="U41" s="9" t="n">
        <f aca="false">IF(N(K41)&gt;0,N(L41),0)</f>
        <v>0</v>
      </c>
      <c r="V41" s="9" t="n">
        <f aca="false">IF(AND(N(K41)&gt;0,ISNUMBER(M41)),M41-Setup!$C$11,99999)</f>
        <v>99999</v>
      </c>
    </row>
    <row r="42" customFormat="false" ht="15" hidden="false" customHeight="false" outlineLevel="0" collapsed="false">
      <c r="A42" s="40" t="str">
        <f aca="false">IF(D42="","",ROW()-7)</f>
        <v/>
      </c>
      <c r="B42" s="79"/>
      <c r="C42" s="75"/>
      <c r="D42" s="76"/>
      <c r="E42" s="80"/>
      <c r="F42" s="79"/>
      <c r="G42" s="76"/>
      <c r="H42" s="54" t="str">
        <f aca="false">IF(OR(D42="",B42=""),"",IF(F42&lt;&gt;"",F42,B42+IFERROR(INDEX(Suppliers!$Q$7:$Q$106,MATCH(D42,Suppliers!$B$7:$B$106,0)),Setup!$C$7)))</f>
        <v/>
      </c>
      <c r="I42" s="46" t="str">
        <f aca="false">IF(OR(D42="",C42=""),IF(D42="","",0),SUMIFS(Payments!$D$8:$D$507,Payments!$C$8:$C$507,D42,Payments!$F$8:$F$507,C42))</f>
        <v/>
      </c>
      <c r="J42" s="46" t="str">
        <f aca="false">IF(D42="","",MIN(P42,MAX(0,R42-Q42)))</f>
        <v/>
      </c>
      <c r="K42" s="47" t="str">
        <f aca="false">IF(D42="","",P42-J42)</f>
        <v/>
      </c>
      <c r="L42" s="55" t="str">
        <f aca="false">IF(OR(D42="",N(K42)&lt;=0,H42=""),"",MAX(0,Setup!$C$11-H42))</f>
        <v/>
      </c>
      <c r="M42" s="54" t="str">
        <f aca="false">IF(OR(D42="",B42=""),"",IF(IFERROR(INDEX(Suppliers!$S$7:$S$106,MATCH(D42,Suppliers!$B$7:$B$106,0)),"")="","–",B42+IFERROR(INDEX(Suppliers!$S$7:$S$106,MATCH(D42,Suppliers!$B$7:$B$106,0)),"")))</f>
        <v/>
      </c>
      <c r="N42" s="56" t="str">
        <f aca="false">IF(D42="","",IF(N(K42)&lt;=0,"Paid",IF(AND(ISNUMBER(M42),Setup!$C$11&gt;M42),"⚠ MSME late",IF(N(L42)&gt;0,"Overdue",IF(N(V42)&lt;=Setup!$C$9,"⚠ MSME due soon",IF(K42&lt;E42,"Part paid","Not due"))))))</f>
        <v/>
      </c>
      <c r="O42" s="50" t="str">
        <f aca="false">IF(AND(D42="",B42="",C42="",E42=""),"",IF(D42="","⚠ Pick supplier",IF(ISNA(MATCH(D42,Suppliers!$B$7:$B$106,0)),"⚠ Supplier not in list",IF(B42="","⚠ Enter bill date",IF(N(E42)&lt;=0,"⚠ Enter amount",IF(AND(C42&lt;&gt;"",COUNTIFS($D$8:$D$507,D42,$C$8:$C$507,C42)&gt;1),"⚠ Bill no. used twice",IF(N(I42)&gt;N(E42),"⚠ Paid more than bill","✔")))))))</f>
        <v/>
      </c>
      <c r="P42" s="9" t="n">
        <f aca="false">IF(D42="",0,MAX(0,N(E42)-N(I42)))</f>
        <v>0</v>
      </c>
      <c r="Q42" s="9" t="n">
        <f aca="false">IF(D42="",0,SUMIFS($P$8:$P$507,$D$8:$D$507,D42,$B$8:$B$507,"&lt;"&amp;B42)+SUMIFS($P$8:P41,$D$8:D41,D42,$B$8:B41,B42))</f>
        <v>0</v>
      </c>
      <c r="R42" s="9" t="n">
        <f aca="false">IF(D42="",0,IFERROR(INDEX(Suppliers!$R$7:$R$106,MATCH(D42,Suppliers!$B$7:$B$106,0)),0))</f>
        <v>0</v>
      </c>
      <c r="S42" s="9" t="str">
        <f aca="false">IF(N(K42)&gt;0,IF(H42="",99999,MIN(H42,IF(ISNUMBER(M42),M42,H42)))+ROW()/100000,"")</f>
        <v/>
      </c>
      <c r="U42" s="9" t="n">
        <f aca="false">IF(N(K42)&gt;0,N(L42),0)</f>
        <v>0</v>
      </c>
      <c r="V42" s="9" t="n">
        <f aca="false">IF(AND(N(K42)&gt;0,ISNUMBER(M42)),M42-Setup!$C$11,99999)</f>
        <v>99999</v>
      </c>
    </row>
    <row r="43" customFormat="false" ht="15" hidden="false" customHeight="false" outlineLevel="0" collapsed="false">
      <c r="A43" s="40" t="str">
        <f aca="false">IF(D43="","",ROW()-7)</f>
        <v/>
      </c>
      <c r="B43" s="79"/>
      <c r="C43" s="75"/>
      <c r="D43" s="76"/>
      <c r="E43" s="80"/>
      <c r="F43" s="79"/>
      <c r="G43" s="76"/>
      <c r="H43" s="54" t="str">
        <f aca="false">IF(OR(D43="",B43=""),"",IF(F43&lt;&gt;"",F43,B43+IFERROR(INDEX(Suppliers!$Q$7:$Q$106,MATCH(D43,Suppliers!$B$7:$B$106,0)),Setup!$C$7)))</f>
        <v/>
      </c>
      <c r="I43" s="46" t="str">
        <f aca="false">IF(OR(D43="",C43=""),IF(D43="","",0),SUMIFS(Payments!$D$8:$D$507,Payments!$C$8:$C$507,D43,Payments!$F$8:$F$507,C43))</f>
        <v/>
      </c>
      <c r="J43" s="46" t="str">
        <f aca="false">IF(D43="","",MIN(P43,MAX(0,R43-Q43)))</f>
        <v/>
      </c>
      <c r="K43" s="47" t="str">
        <f aca="false">IF(D43="","",P43-J43)</f>
        <v/>
      </c>
      <c r="L43" s="55" t="str">
        <f aca="false">IF(OR(D43="",N(K43)&lt;=0,H43=""),"",MAX(0,Setup!$C$11-H43))</f>
        <v/>
      </c>
      <c r="M43" s="54" t="str">
        <f aca="false">IF(OR(D43="",B43=""),"",IF(IFERROR(INDEX(Suppliers!$S$7:$S$106,MATCH(D43,Suppliers!$B$7:$B$106,0)),"")="","–",B43+IFERROR(INDEX(Suppliers!$S$7:$S$106,MATCH(D43,Suppliers!$B$7:$B$106,0)),"")))</f>
        <v/>
      </c>
      <c r="N43" s="56" t="str">
        <f aca="false">IF(D43="","",IF(N(K43)&lt;=0,"Paid",IF(AND(ISNUMBER(M43),Setup!$C$11&gt;M43),"⚠ MSME late",IF(N(L43)&gt;0,"Overdue",IF(N(V43)&lt;=Setup!$C$9,"⚠ MSME due soon",IF(K43&lt;E43,"Part paid","Not due"))))))</f>
        <v/>
      </c>
      <c r="O43" s="50" t="str">
        <f aca="false">IF(AND(D43="",B43="",C43="",E43=""),"",IF(D43="","⚠ Pick supplier",IF(ISNA(MATCH(D43,Suppliers!$B$7:$B$106,0)),"⚠ Supplier not in list",IF(B43="","⚠ Enter bill date",IF(N(E43)&lt;=0,"⚠ Enter amount",IF(AND(C43&lt;&gt;"",COUNTIFS($D$8:$D$507,D43,$C$8:$C$507,C43)&gt;1),"⚠ Bill no. used twice",IF(N(I43)&gt;N(E43),"⚠ Paid more than bill","✔")))))))</f>
        <v/>
      </c>
      <c r="P43" s="9" t="n">
        <f aca="false">IF(D43="",0,MAX(0,N(E43)-N(I43)))</f>
        <v>0</v>
      </c>
      <c r="Q43" s="9" t="n">
        <f aca="false">IF(D43="",0,SUMIFS($P$8:$P$507,$D$8:$D$507,D43,$B$8:$B$507,"&lt;"&amp;B43)+SUMIFS($P$8:P42,$D$8:D42,D43,$B$8:B42,B43))</f>
        <v>0</v>
      </c>
      <c r="R43" s="9" t="n">
        <f aca="false">IF(D43="",0,IFERROR(INDEX(Suppliers!$R$7:$R$106,MATCH(D43,Suppliers!$B$7:$B$106,0)),0))</f>
        <v>0</v>
      </c>
      <c r="S43" s="9" t="str">
        <f aca="false">IF(N(K43)&gt;0,IF(H43="",99999,MIN(H43,IF(ISNUMBER(M43),M43,H43)))+ROW()/100000,"")</f>
        <v/>
      </c>
      <c r="U43" s="9" t="n">
        <f aca="false">IF(N(K43)&gt;0,N(L43),0)</f>
        <v>0</v>
      </c>
      <c r="V43" s="9" t="n">
        <f aca="false">IF(AND(N(K43)&gt;0,ISNUMBER(M43)),M43-Setup!$C$11,99999)</f>
        <v>99999</v>
      </c>
    </row>
    <row r="44" customFormat="false" ht="15" hidden="false" customHeight="false" outlineLevel="0" collapsed="false">
      <c r="A44" s="40" t="str">
        <f aca="false">IF(D44="","",ROW()-7)</f>
        <v/>
      </c>
      <c r="B44" s="79"/>
      <c r="C44" s="75"/>
      <c r="D44" s="76"/>
      <c r="E44" s="80"/>
      <c r="F44" s="79"/>
      <c r="G44" s="76"/>
      <c r="H44" s="54" t="str">
        <f aca="false">IF(OR(D44="",B44=""),"",IF(F44&lt;&gt;"",F44,B44+IFERROR(INDEX(Suppliers!$Q$7:$Q$106,MATCH(D44,Suppliers!$B$7:$B$106,0)),Setup!$C$7)))</f>
        <v/>
      </c>
      <c r="I44" s="46" t="str">
        <f aca="false">IF(OR(D44="",C44=""),IF(D44="","",0),SUMIFS(Payments!$D$8:$D$507,Payments!$C$8:$C$507,D44,Payments!$F$8:$F$507,C44))</f>
        <v/>
      </c>
      <c r="J44" s="46" t="str">
        <f aca="false">IF(D44="","",MIN(P44,MAX(0,R44-Q44)))</f>
        <v/>
      </c>
      <c r="K44" s="47" t="str">
        <f aca="false">IF(D44="","",P44-J44)</f>
        <v/>
      </c>
      <c r="L44" s="55" t="str">
        <f aca="false">IF(OR(D44="",N(K44)&lt;=0,H44=""),"",MAX(0,Setup!$C$11-H44))</f>
        <v/>
      </c>
      <c r="M44" s="54" t="str">
        <f aca="false">IF(OR(D44="",B44=""),"",IF(IFERROR(INDEX(Suppliers!$S$7:$S$106,MATCH(D44,Suppliers!$B$7:$B$106,0)),"")="","–",B44+IFERROR(INDEX(Suppliers!$S$7:$S$106,MATCH(D44,Suppliers!$B$7:$B$106,0)),"")))</f>
        <v/>
      </c>
      <c r="N44" s="56" t="str">
        <f aca="false">IF(D44="","",IF(N(K44)&lt;=0,"Paid",IF(AND(ISNUMBER(M44),Setup!$C$11&gt;M44),"⚠ MSME late",IF(N(L44)&gt;0,"Overdue",IF(N(V44)&lt;=Setup!$C$9,"⚠ MSME due soon",IF(K44&lt;E44,"Part paid","Not due"))))))</f>
        <v/>
      </c>
      <c r="O44" s="50" t="str">
        <f aca="false">IF(AND(D44="",B44="",C44="",E44=""),"",IF(D44="","⚠ Pick supplier",IF(ISNA(MATCH(D44,Suppliers!$B$7:$B$106,0)),"⚠ Supplier not in list",IF(B44="","⚠ Enter bill date",IF(N(E44)&lt;=0,"⚠ Enter amount",IF(AND(C44&lt;&gt;"",COUNTIFS($D$8:$D$507,D44,$C$8:$C$507,C44)&gt;1),"⚠ Bill no. used twice",IF(N(I44)&gt;N(E44),"⚠ Paid more than bill","✔")))))))</f>
        <v/>
      </c>
      <c r="P44" s="9" t="n">
        <f aca="false">IF(D44="",0,MAX(0,N(E44)-N(I44)))</f>
        <v>0</v>
      </c>
      <c r="Q44" s="9" t="n">
        <f aca="false">IF(D44="",0,SUMIFS($P$8:$P$507,$D$8:$D$507,D44,$B$8:$B$507,"&lt;"&amp;B44)+SUMIFS($P$8:P43,$D$8:D43,D44,$B$8:B43,B44))</f>
        <v>0</v>
      </c>
      <c r="R44" s="9" t="n">
        <f aca="false">IF(D44="",0,IFERROR(INDEX(Suppliers!$R$7:$R$106,MATCH(D44,Suppliers!$B$7:$B$106,0)),0))</f>
        <v>0</v>
      </c>
      <c r="S44" s="9" t="str">
        <f aca="false">IF(N(K44)&gt;0,IF(H44="",99999,MIN(H44,IF(ISNUMBER(M44),M44,H44)))+ROW()/100000,"")</f>
        <v/>
      </c>
      <c r="U44" s="9" t="n">
        <f aca="false">IF(N(K44)&gt;0,N(L44),0)</f>
        <v>0</v>
      </c>
      <c r="V44" s="9" t="n">
        <f aca="false">IF(AND(N(K44)&gt;0,ISNUMBER(M44)),M44-Setup!$C$11,99999)</f>
        <v>99999</v>
      </c>
    </row>
    <row r="45" customFormat="false" ht="15" hidden="false" customHeight="false" outlineLevel="0" collapsed="false">
      <c r="A45" s="40" t="str">
        <f aca="false">IF(D45="","",ROW()-7)</f>
        <v/>
      </c>
      <c r="B45" s="79"/>
      <c r="C45" s="75"/>
      <c r="D45" s="76"/>
      <c r="E45" s="80"/>
      <c r="F45" s="79"/>
      <c r="G45" s="76"/>
      <c r="H45" s="54" t="str">
        <f aca="false">IF(OR(D45="",B45=""),"",IF(F45&lt;&gt;"",F45,B45+IFERROR(INDEX(Suppliers!$Q$7:$Q$106,MATCH(D45,Suppliers!$B$7:$B$106,0)),Setup!$C$7)))</f>
        <v/>
      </c>
      <c r="I45" s="46" t="str">
        <f aca="false">IF(OR(D45="",C45=""),IF(D45="","",0),SUMIFS(Payments!$D$8:$D$507,Payments!$C$8:$C$507,D45,Payments!$F$8:$F$507,C45))</f>
        <v/>
      </c>
      <c r="J45" s="46" t="str">
        <f aca="false">IF(D45="","",MIN(P45,MAX(0,R45-Q45)))</f>
        <v/>
      </c>
      <c r="K45" s="47" t="str">
        <f aca="false">IF(D45="","",P45-J45)</f>
        <v/>
      </c>
      <c r="L45" s="55" t="str">
        <f aca="false">IF(OR(D45="",N(K45)&lt;=0,H45=""),"",MAX(0,Setup!$C$11-H45))</f>
        <v/>
      </c>
      <c r="M45" s="54" t="str">
        <f aca="false">IF(OR(D45="",B45=""),"",IF(IFERROR(INDEX(Suppliers!$S$7:$S$106,MATCH(D45,Suppliers!$B$7:$B$106,0)),"")="","–",B45+IFERROR(INDEX(Suppliers!$S$7:$S$106,MATCH(D45,Suppliers!$B$7:$B$106,0)),"")))</f>
        <v/>
      </c>
      <c r="N45" s="56" t="str">
        <f aca="false">IF(D45="","",IF(N(K45)&lt;=0,"Paid",IF(AND(ISNUMBER(M45),Setup!$C$11&gt;M45),"⚠ MSME late",IF(N(L45)&gt;0,"Overdue",IF(N(V45)&lt;=Setup!$C$9,"⚠ MSME due soon",IF(K45&lt;E45,"Part paid","Not due"))))))</f>
        <v/>
      </c>
      <c r="O45" s="50" t="str">
        <f aca="false">IF(AND(D45="",B45="",C45="",E45=""),"",IF(D45="","⚠ Pick supplier",IF(ISNA(MATCH(D45,Suppliers!$B$7:$B$106,0)),"⚠ Supplier not in list",IF(B45="","⚠ Enter bill date",IF(N(E45)&lt;=0,"⚠ Enter amount",IF(AND(C45&lt;&gt;"",COUNTIFS($D$8:$D$507,D45,$C$8:$C$507,C45)&gt;1),"⚠ Bill no. used twice",IF(N(I45)&gt;N(E45),"⚠ Paid more than bill","✔")))))))</f>
        <v/>
      </c>
      <c r="P45" s="9" t="n">
        <f aca="false">IF(D45="",0,MAX(0,N(E45)-N(I45)))</f>
        <v>0</v>
      </c>
      <c r="Q45" s="9" t="n">
        <f aca="false">IF(D45="",0,SUMIFS($P$8:$P$507,$D$8:$D$507,D45,$B$8:$B$507,"&lt;"&amp;B45)+SUMIFS($P$8:P44,$D$8:D44,D45,$B$8:B44,B45))</f>
        <v>0</v>
      </c>
      <c r="R45" s="9" t="n">
        <f aca="false">IF(D45="",0,IFERROR(INDEX(Suppliers!$R$7:$R$106,MATCH(D45,Suppliers!$B$7:$B$106,0)),0))</f>
        <v>0</v>
      </c>
      <c r="S45" s="9" t="str">
        <f aca="false">IF(N(K45)&gt;0,IF(H45="",99999,MIN(H45,IF(ISNUMBER(M45),M45,H45)))+ROW()/100000,"")</f>
        <v/>
      </c>
      <c r="U45" s="9" t="n">
        <f aca="false">IF(N(K45)&gt;0,N(L45),0)</f>
        <v>0</v>
      </c>
      <c r="V45" s="9" t="n">
        <f aca="false">IF(AND(N(K45)&gt;0,ISNUMBER(M45)),M45-Setup!$C$11,99999)</f>
        <v>99999</v>
      </c>
    </row>
    <row r="46" customFormat="false" ht="15" hidden="false" customHeight="false" outlineLevel="0" collapsed="false">
      <c r="A46" s="40" t="str">
        <f aca="false">IF(D46="","",ROW()-7)</f>
        <v/>
      </c>
      <c r="B46" s="79"/>
      <c r="C46" s="75"/>
      <c r="D46" s="76"/>
      <c r="E46" s="80"/>
      <c r="F46" s="79"/>
      <c r="G46" s="76"/>
      <c r="H46" s="54" t="str">
        <f aca="false">IF(OR(D46="",B46=""),"",IF(F46&lt;&gt;"",F46,B46+IFERROR(INDEX(Suppliers!$Q$7:$Q$106,MATCH(D46,Suppliers!$B$7:$B$106,0)),Setup!$C$7)))</f>
        <v/>
      </c>
      <c r="I46" s="46" t="str">
        <f aca="false">IF(OR(D46="",C46=""),IF(D46="","",0),SUMIFS(Payments!$D$8:$D$507,Payments!$C$8:$C$507,D46,Payments!$F$8:$F$507,C46))</f>
        <v/>
      </c>
      <c r="J46" s="46" t="str">
        <f aca="false">IF(D46="","",MIN(P46,MAX(0,R46-Q46)))</f>
        <v/>
      </c>
      <c r="K46" s="47" t="str">
        <f aca="false">IF(D46="","",P46-J46)</f>
        <v/>
      </c>
      <c r="L46" s="55" t="str">
        <f aca="false">IF(OR(D46="",N(K46)&lt;=0,H46=""),"",MAX(0,Setup!$C$11-H46))</f>
        <v/>
      </c>
      <c r="M46" s="54" t="str">
        <f aca="false">IF(OR(D46="",B46=""),"",IF(IFERROR(INDEX(Suppliers!$S$7:$S$106,MATCH(D46,Suppliers!$B$7:$B$106,0)),"")="","–",B46+IFERROR(INDEX(Suppliers!$S$7:$S$106,MATCH(D46,Suppliers!$B$7:$B$106,0)),"")))</f>
        <v/>
      </c>
      <c r="N46" s="56" t="str">
        <f aca="false">IF(D46="","",IF(N(K46)&lt;=0,"Paid",IF(AND(ISNUMBER(M46),Setup!$C$11&gt;M46),"⚠ MSME late",IF(N(L46)&gt;0,"Overdue",IF(N(V46)&lt;=Setup!$C$9,"⚠ MSME due soon",IF(K46&lt;E46,"Part paid","Not due"))))))</f>
        <v/>
      </c>
      <c r="O46" s="50" t="str">
        <f aca="false">IF(AND(D46="",B46="",C46="",E46=""),"",IF(D46="","⚠ Pick supplier",IF(ISNA(MATCH(D46,Suppliers!$B$7:$B$106,0)),"⚠ Supplier not in list",IF(B46="","⚠ Enter bill date",IF(N(E46)&lt;=0,"⚠ Enter amount",IF(AND(C46&lt;&gt;"",COUNTIFS($D$8:$D$507,D46,$C$8:$C$507,C46)&gt;1),"⚠ Bill no. used twice",IF(N(I46)&gt;N(E46),"⚠ Paid more than bill","✔")))))))</f>
        <v/>
      </c>
      <c r="P46" s="9" t="n">
        <f aca="false">IF(D46="",0,MAX(0,N(E46)-N(I46)))</f>
        <v>0</v>
      </c>
      <c r="Q46" s="9" t="n">
        <f aca="false">IF(D46="",0,SUMIFS($P$8:$P$507,$D$8:$D$507,D46,$B$8:$B$507,"&lt;"&amp;B46)+SUMIFS($P$8:P45,$D$8:D45,D46,$B$8:B45,B46))</f>
        <v>0</v>
      </c>
      <c r="R46" s="9" t="n">
        <f aca="false">IF(D46="",0,IFERROR(INDEX(Suppliers!$R$7:$R$106,MATCH(D46,Suppliers!$B$7:$B$106,0)),0))</f>
        <v>0</v>
      </c>
      <c r="S46" s="9" t="str">
        <f aca="false">IF(N(K46)&gt;0,IF(H46="",99999,MIN(H46,IF(ISNUMBER(M46),M46,H46)))+ROW()/100000,"")</f>
        <v/>
      </c>
      <c r="U46" s="9" t="n">
        <f aca="false">IF(N(K46)&gt;0,N(L46),0)</f>
        <v>0</v>
      </c>
      <c r="V46" s="9" t="n">
        <f aca="false">IF(AND(N(K46)&gt;0,ISNUMBER(M46)),M46-Setup!$C$11,99999)</f>
        <v>99999</v>
      </c>
    </row>
    <row r="47" customFormat="false" ht="15" hidden="false" customHeight="false" outlineLevel="0" collapsed="false">
      <c r="A47" s="40" t="str">
        <f aca="false">IF(D47="","",ROW()-7)</f>
        <v/>
      </c>
      <c r="B47" s="79"/>
      <c r="C47" s="75"/>
      <c r="D47" s="76"/>
      <c r="E47" s="80"/>
      <c r="F47" s="79"/>
      <c r="G47" s="76"/>
      <c r="H47" s="54" t="str">
        <f aca="false">IF(OR(D47="",B47=""),"",IF(F47&lt;&gt;"",F47,B47+IFERROR(INDEX(Suppliers!$Q$7:$Q$106,MATCH(D47,Suppliers!$B$7:$B$106,0)),Setup!$C$7)))</f>
        <v/>
      </c>
      <c r="I47" s="46" t="str">
        <f aca="false">IF(OR(D47="",C47=""),IF(D47="","",0),SUMIFS(Payments!$D$8:$D$507,Payments!$C$8:$C$507,D47,Payments!$F$8:$F$507,C47))</f>
        <v/>
      </c>
      <c r="J47" s="46" t="str">
        <f aca="false">IF(D47="","",MIN(P47,MAX(0,R47-Q47)))</f>
        <v/>
      </c>
      <c r="K47" s="47" t="str">
        <f aca="false">IF(D47="","",P47-J47)</f>
        <v/>
      </c>
      <c r="L47" s="55" t="str">
        <f aca="false">IF(OR(D47="",N(K47)&lt;=0,H47=""),"",MAX(0,Setup!$C$11-H47))</f>
        <v/>
      </c>
      <c r="M47" s="54" t="str">
        <f aca="false">IF(OR(D47="",B47=""),"",IF(IFERROR(INDEX(Suppliers!$S$7:$S$106,MATCH(D47,Suppliers!$B$7:$B$106,0)),"")="","–",B47+IFERROR(INDEX(Suppliers!$S$7:$S$106,MATCH(D47,Suppliers!$B$7:$B$106,0)),"")))</f>
        <v/>
      </c>
      <c r="N47" s="56" t="str">
        <f aca="false">IF(D47="","",IF(N(K47)&lt;=0,"Paid",IF(AND(ISNUMBER(M47),Setup!$C$11&gt;M47),"⚠ MSME late",IF(N(L47)&gt;0,"Overdue",IF(N(V47)&lt;=Setup!$C$9,"⚠ MSME due soon",IF(K47&lt;E47,"Part paid","Not due"))))))</f>
        <v/>
      </c>
      <c r="O47" s="50" t="str">
        <f aca="false">IF(AND(D47="",B47="",C47="",E47=""),"",IF(D47="","⚠ Pick supplier",IF(ISNA(MATCH(D47,Suppliers!$B$7:$B$106,0)),"⚠ Supplier not in list",IF(B47="","⚠ Enter bill date",IF(N(E47)&lt;=0,"⚠ Enter amount",IF(AND(C47&lt;&gt;"",COUNTIFS($D$8:$D$507,D47,$C$8:$C$507,C47)&gt;1),"⚠ Bill no. used twice",IF(N(I47)&gt;N(E47),"⚠ Paid more than bill","✔")))))))</f>
        <v/>
      </c>
      <c r="P47" s="9" t="n">
        <f aca="false">IF(D47="",0,MAX(0,N(E47)-N(I47)))</f>
        <v>0</v>
      </c>
      <c r="Q47" s="9" t="n">
        <f aca="false">IF(D47="",0,SUMIFS($P$8:$P$507,$D$8:$D$507,D47,$B$8:$B$507,"&lt;"&amp;B47)+SUMIFS($P$8:P46,$D$8:D46,D47,$B$8:B46,B47))</f>
        <v>0</v>
      </c>
      <c r="R47" s="9" t="n">
        <f aca="false">IF(D47="",0,IFERROR(INDEX(Suppliers!$R$7:$R$106,MATCH(D47,Suppliers!$B$7:$B$106,0)),0))</f>
        <v>0</v>
      </c>
      <c r="S47" s="9" t="str">
        <f aca="false">IF(N(K47)&gt;0,IF(H47="",99999,MIN(H47,IF(ISNUMBER(M47),M47,H47)))+ROW()/100000,"")</f>
        <v/>
      </c>
      <c r="U47" s="9" t="n">
        <f aca="false">IF(N(K47)&gt;0,N(L47),0)</f>
        <v>0</v>
      </c>
      <c r="V47" s="9" t="n">
        <f aca="false">IF(AND(N(K47)&gt;0,ISNUMBER(M47)),M47-Setup!$C$11,99999)</f>
        <v>99999</v>
      </c>
    </row>
    <row r="48" customFormat="false" ht="15" hidden="false" customHeight="false" outlineLevel="0" collapsed="false">
      <c r="A48" s="40" t="str">
        <f aca="false">IF(D48="","",ROW()-7)</f>
        <v/>
      </c>
      <c r="B48" s="79"/>
      <c r="C48" s="75"/>
      <c r="D48" s="76"/>
      <c r="E48" s="80"/>
      <c r="F48" s="79"/>
      <c r="G48" s="76"/>
      <c r="H48" s="54" t="str">
        <f aca="false">IF(OR(D48="",B48=""),"",IF(F48&lt;&gt;"",F48,B48+IFERROR(INDEX(Suppliers!$Q$7:$Q$106,MATCH(D48,Suppliers!$B$7:$B$106,0)),Setup!$C$7)))</f>
        <v/>
      </c>
      <c r="I48" s="46" t="str">
        <f aca="false">IF(OR(D48="",C48=""),IF(D48="","",0),SUMIFS(Payments!$D$8:$D$507,Payments!$C$8:$C$507,D48,Payments!$F$8:$F$507,C48))</f>
        <v/>
      </c>
      <c r="J48" s="46" t="str">
        <f aca="false">IF(D48="","",MIN(P48,MAX(0,R48-Q48)))</f>
        <v/>
      </c>
      <c r="K48" s="47" t="str">
        <f aca="false">IF(D48="","",P48-J48)</f>
        <v/>
      </c>
      <c r="L48" s="55" t="str">
        <f aca="false">IF(OR(D48="",N(K48)&lt;=0,H48=""),"",MAX(0,Setup!$C$11-H48))</f>
        <v/>
      </c>
      <c r="M48" s="54" t="str">
        <f aca="false">IF(OR(D48="",B48=""),"",IF(IFERROR(INDEX(Suppliers!$S$7:$S$106,MATCH(D48,Suppliers!$B$7:$B$106,0)),"")="","–",B48+IFERROR(INDEX(Suppliers!$S$7:$S$106,MATCH(D48,Suppliers!$B$7:$B$106,0)),"")))</f>
        <v/>
      </c>
      <c r="N48" s="56" t="str">
        <f aca="false">IF(D48="","",IF(N(K48)&lt;=0,"Paid",IF(AND(ISNUMBER(M48),Setup!$C$11&gt;M48),"⚠ MSME late",IF(N(L48)&gt;0,"Overdue",IF(N(V48)&lt;=Setup!$C$9,"⚠ MSME due soon",IF(K48&lt;E48,"Part paid","Not due"))))))</f>
        <v/>
      </c>
      <c r="O48" s="50" t="str">
        <f aca="false">IF(AND(D48="",B48="",C48="",E48=""),"",IF(D48="","⚠ Pick supplier",IF(ISNA(MATCH(D48,Suppliers!$B$7:$B$106,0)),"⚠ Supplier not in list",IF(B48="","⚠ Enter bill date",IF(N(E48)&lt;=0,"⚠ Enter amount",IF(AND(C48&lt;&gt;"",COUNTIFS($D$8:$D$507,D48,$C$8:$C$507,C48)&gt;1),"⚠ Bill no. used twice",IF(N(I48)&gt;N(E48),"⚠ Paid more than bill","✔")))))))</f>
        <v/>
      </c>
      <c r="P48" s="9" t="n">
        <f aca="false">IF(D48="",0,MAX(0,N(E48)-N(I48)))</f>
        <v>0</v>
      </c>
      <c r="Q48" s="9" t="n">
        <f aca="false">IF(D48="",0,SUMIFS($P$8:$P$507,$D$8:$D$507,D48,$B$8:$B$507,"&lt;"&amp;B48)+SUMIFS($P$8:P47,$D$8:D47,D48,$B$8:B47,B48))</f>
        <v>0</v>
      </c>
      <c r="R48" s="9" t="n">
        <f aca="false">IF(D48="",0,IFERROR(INDEX(Suppliers!$R$7:$R$106,MATCH(D48,Suppliers!$B$7:$B$106,0)),0))</f>
        <v>0</v>
      </c>
      <c r="S48" s="9" t="str">
        <f aca="false">IF(N(K48)&gt;0,IF(H48="",99999,MIN(H48,IF(ISNUMBER(M48),M48,H48)))+ROW()/100000,"")</f>
        <v/>
      </c>
      <c r="U48" s="9" t="n">
        <f aca="false">IF(N(K48)&gt;0,N(L48),0)</f>
        <v>0</v>
      </c>
      <c r="V48" s="9" t="n">
        <f aca="false">IF(AND(N(K48)&gt;0,ISNUMBER(M48)),M48-Setup!$C$11,99999)</f>
        <v>99999</v>
      </c>
    </row>
    <row r="49" customFormat="false" ht="15" hidden="false" customHeight="false" outlineLevel="0" collapsed="false">
      <c r="A49" s="40" t="str">
        <f aca="false">IF(D49="","",ROW()-7)</f>
        <v/>
      </c>
      <c r="B49" s="79"/>
      <c r="C49" s="75"/>
      <c r="D49" s="76"/>
      <c r="E49" s="80"/>
      <c r="F49" s="79"/>
      <c r="G49" s="76"/>
      <c r="H49" s="54" t="str">
        <f aca="false">IF(OR(D49="",B49=""),"",IF(F49&lt;&gt;"",F49,B49+IFERROR(INDEX(Suppliers!$Q$7:$Q$106,MATCH(D49,Suppliers!$B$7:$B$106,0)),Setup!$C$7)))</f>
        <v/>
      </c>
      <c r="I49" s="46" t="str">
        <f aca="false">IF(OR(D49="",C49=""),IF(D49="","",0),SUMIFS(Payments!$D$8:$D$507,Payments!$C$8:$C$507,D49,Payments!$F$8:$F$507,C49))</f>
        <v/>
      </c>
      <c r="J49" s="46" t="str">
        <f aca="false">IF(D49="","",MIN(P49,MAX(0,R49-Q49)))</f>
        <v/>
      </c>
      <c r="K49" s="47" t="str">
        <f aca="false">IF(D49="","",P49-J49)</f>
        <v/>
      </c>
      <c r="L49" s="55" t="str">
        <f aca="false">IF(OR(D49="",N(K49)&lt;=0,H49=""),"",MAX(0,Setup!$C$11-H49))</f>
        <v/>
      </c>
      <c r="M49" s="54" t="str">
        <f aca="false">IF(OR(D49="",B49=""),"",IF(IFERROR(INDEX(Suppliers!$S$7:$S$106,MATCH(D49,Suppliers!$B$7:$B$106,0)),"")="","–",B49+IFERROR(INDEX(Suppliers!$S$7:$S$106,MATCH(D49,Suppliers!$B$7:$B$106,0)),"")))</f>
        <v/>
      </c>
      <c r="N49" s="56" t="str">
        <f aca="false">IF(D49="","",IF(N(K49)&lt;=0,"Paid",IF(AND(ISNUMBER(M49),Setup!$C$11&gt;M49),"⚠ MSME late",IF(N(L49)&gt;0,"Overdue",IF(N(V49)&lt;=Setup!$C$9,"⚠ MSME due soon",IF(K49&lt;E49,"Part paid","Not due"))))))</f>
        <v/>
      </c>
      <c r="O49" s="50" t="str">
        <f aca="false">IF(AND(D49="",B49="",C49="",E49=""),"",IF(D49="","⚠ Pick supplier",IF(ISNA(MATCH(D49,Suppliers!$B$7:$B$106,0)),"⚠ Supplier not in list",IF(B49="","⚠ Enter bill date",IF(N(E49)&lt;=0,"⚠ Enter amount",IF(AND(C49&lt;&gt;"",COUNTIFS($D$8:$D$507,D49,$C$8:$C$507,C49)&gt;1),"⚠ Bill no. used twice",IF(N(I49)&gt;N(E49),"⚠ Paid more than bill","✔")))))))</f>
        <v/>
      </c>
      <c r="P49" s="9" t="n">
        <f aca="false">IF(D49="",0,MAX(0,N(E49)-N(I49)))</f>
        <v>0</v>
      </c>
      <c r="Q49" s="9" t="n">
        <f aca="false">IF(D49="",0,SUMIFS($P$8:$P$507,$D$8:$D$507,D49,$B$8:$B$507,"&lt;"&amp;B49)+SUMIFS($P$8:P48,$D$8:D48,D49,$B$8:B48,B49))</f>
        <v>0</v>
      </c>
      <c r="R49" s="9" t="n">
        <f aca="false">IF(D49="",0,IFERROR(INDEX(Suppliers!$R$7:$R$106,MATCH(D49,Suppliers!$B$7:$B$106,0)),0))</f>
        <v>0</v>
      </c>
      <c r="S49" s="9" t="str">
        <f aca="false">IF(N(K49)&gt;0,IF(H49="",99999,MIN(H49,IF(ISNUMBER(M49),M49,H49)))+ROW()/100000,"")</f>
        <v/>
      </c>
      <c r="U49" s="9" t="n">
        <f aca="false">IF(N(K49)&gt;0,N(L49),0)</f>
        <v>0</v>
      </c>
      <c r="V49" s="9" t="n">
        <f aca="false">IF(AND(N(K49)&gt;0,ISNUMBER(M49)),M49-Setup!$C$11,99999)</f>
        <v>99999</v>
      </c>
    </row>
    <row r="50" customFormat="false" ht="15" hidden="false" customHeight="false" outlineLevel="0" collapsed="false">
      <c r="A50" s="40" t="str">
        <f aca="false">IF(D50="","",ROW()-7)</f>
        <v/>
      </c>
      <c r="B50" s="79"/>
      <c r="C50" s="75"/>
      <c r="D50" s="76"/>
      <c r="E50" s="80"/>
      <c r="F50" s="79"/>
      <c r="G50" s="76"/>
      <c r="H50" s="54" t="str">
        <f aca="false">IF(OR(D50="",B50=""),"",IF(F50&lt;&gt;"",F50,B50+IFERROR(INDEX(Suppliers!$Q$7:$Q$106,MATCH(D50,Suppliers!$B$7:$B$106,0)),Setup!$C$7)))</f>
        <v/>
      </c>
      <c r="I50" s="46" t="str">
        <f aca="false">IF(OR(D50="",C50=""),IF(D50="","",0),SUMIFS(Payments!$D$8:$D$507,Payments!$C$8:$C$507,D50,Payments!$F$8:$F$507,C50))</f>
        <v/>
      </c>
      <c r="J50" s="46" t="str">
        <f aca="false">IF(D50="","",MIN(P50,MAX(0,R50-Q50)))</f>
        <v/>
      </c>
      <c r="K50" s="47" t="str">
        <f aca="false">IF(D50="","",P50-J50)</f>
        <v/>
      </c>
      <c r="L50" s="55" t="str">
        <f aca="false">IF(OR(D50="",N(K50)&lt;=0,H50=""),"",MAX(0,Setup!$C$11-H50))</f>
        <v/>
      </c>
      <c r="M50" s="54" t="str">
        <f aca="false">IF(OR(D50="",B50=""),"",IF(IFERROR(INDEX(Suppliers!$S$7:$S$106,MATCH(D50,Suppliers!$B$7:$B$106,0)),"")="","–",B50+IFERROR(INDEX(Suppliers!$S$7:$S$106,MATCH(D50,Suppliers!$B$7:$B$106,0)),"")))</f>
        <v/>
      </c>
      <c r="N50" s="56" t="str">
        <f aca="false">IF(D50="","",IF(N(K50)&lt;=0,"Paid",IF(AND(ISNUMBER(M50),Setup!$C$11&gt;M50),"⚠ MSME late",IF(N(L50)&gt;0,"Overdue",IF(N(V50)&lt;=Setup!$C$9,"⚠ MSME due soon",IF(K50&lt;E50,"Part paid","Not due"))))))</f>
        <v/>
      </c>
      <c r="O50" s="50" t="str">
        <f aca="false">IF(AND(D50="",B50="",C50="",E50=""),"",IF(D50="","⚠ Pick supplier",IF(ISNA(MATCH(D50,Suppliers!$B$7:$B$106,0)),"⚠ Supplier not in list",IF(B50="","⚠ Enter bill date",IF(N(E50)&lt;=0,"⚠ Enter amount",IF(AND(C50&lt;&gt;"",COUNTIFS($D$8:$D$507,D50,$C$8:$C$507,C50)&gt;1),"⚠ Bill no. used twice",IF(N(I50)&gt;N(E50),"⚠ Paid more than bill","✔")))))))</f>
        <v/>
      </c>
      <c r="P50" s="9" t="n">
        <f aca="false">IF(D50="",0,MAX(0,N(E50)-N(I50)))</f>
        <v>0</v>
      </c>
      <c r="Q50" s="9" t="n">
        <f aca="false">IF(D50="",0,SUMIFS($P$8:$P$507,$D$8:$D$507,D50,$B$8:$B$507,"&lt;"&amp;B50)+SUMIFS($P$8:P49,$D$8:D49,D50,$B$8:B49,B50))</f>
        <v>0</v>
      </c>
      <c r="R50" s="9" t="n">
        <f aca="false">IF(D50="",0,IFERROR(INDEX(Suppliers!$R$7:$R$106,MATCH(D50,Suppliers!$B$7:$B$106,0)),0))</f>
        <v>0</v>
      </c>
      <c r="S50" s="9" t="str">
        <f aca="false">IF(N(K50)&gt;0,IF(H50="",99999,MIN(H50,IF(ISNUMBER(M50),M50,H50)))+ROW()/100000,"")</f>
        <v/>
      </c>
      <c r="U50" s="9" t="n">
        <f aca="false">IF(N(K50)&gt;0,N(L50),0)</f>
        <v>0</v>
      </c>
      <c r="V50" s="9" t="n">
        <f aca="false">IF(AND(N(K50)&gt;0,ISNUMBER(M50)),M50-Setup!$C$11,99999)</f>
        <v>99999</v>
      </c>
    </row>
    <row r="51" customFormat="false" ht="15" hidden="false" customHeight="false" outlineLevel="0" collapsed="false">
      <c r="A51" s="40" t="str">
        <f aca="false">IF(D51="","",ROW()-7)</f>
        <v/>
      </c>
      <c r="B51" s="79"/>
      <c r="C51" s="75"/>
      <c r="D51" s="76"/>
      <c r="E51" s="80"/>
      <c r="F51" s="79"/>
      <c r="G51" s="76"/>
      <c r="H51" s="54" t="str">
        <f aca="false">IF(OR(D51="",B51=""),"",IF(F51&lt;&gt;"",F51,B51+IFERROR(INDEX(Suppliers!$Q$7:$Q$106,MATCH(D51,Suppliers!$B$7:$B$106,0)),Setup!$C$7)))</f>
        <v/>
      </c>
      <c r="I51" s="46" t="str">
        <f aca="false">IF(OR(D51="",C51=""),IF(D51="","",0),SUMIFS(Payments!$D$8:$D$507,Payments!$C$8:$C$507,D51,Payments!$F$8:$F$507,C51))</f>
        <v/>
      </c>
      <c r="J51" s="46" t="str">
        <f aca="false">IF(D51="","",MIN(P51,MAX(0,R51-Q51)))</f>
        <v/>
      </c>
      <c r="K51" s="47" t="str">
        <f aca="false">IF(D51="","",P51-J51)</f>
        <v/>
      </c>
      <c r="L51" s="55" t="str">
        <f aca="false">IF(OR(D51="",N(K51)&lt;=0,H51=""),"",MAX(0,Setup!$C$11-H51))</f>
        <v/>
      </c>
      <c r="M51" s="54" t="str">
        <f aca="false">IF(OR(D51="",B51=""),"",IF(IFERROR(INDEX(Suppliers!$S$7:$S$106,MATCH(D51,Suppliers!$B$7:$B$106,0)),"")="","–",B51+IFERROR(INDEX(Suppliers!$S$7:$S$106,MATCH(D51,Suppliers!$B$7:$B$106,0)),"")))</f>
        <v/>
      </c>
      <c r="N51" s="56" t="str">
        <f aca="false">IF(D51="","",IF(N(K51)&lt;=0,"Paid",IF(AND(ISNUMBER(M51),Setup!$C$11&gt;M51),"⚠ MSME late",IF(N(L51)&gt;0,"Overdue",IF(N(V51)&lt;=Setup!$C$9,"⚠ MSME due soon",IF(K51&lt;E51,"Part paid","Not due"))))))</f>
        <v/>
      </c>
      <c r="O51" s="50" t="str">
        <f aca="false">IF(AND(D51="",B51="",C51="",E51=""),"",IF(D51="","⚠ Pick supplier",IF(ISNA(MATCH(D51,Suppliers!$B$7:$B$106,0)),"⚠ Supplier not in list",IF(B51="","⚠ Enter bill date",IF(N(E51)&lt;=0,"⚠ Enter amount",IF(AND(C51&lt;&gt;"",COUNTIFS($D$8:$D$507,D51,$C$8:$C$507,C51)&gt;1),"⚠ Bill no. used twice",IF(N(I51)&gt;N(E51),"⚠ Paid more than bill","✔")))))))</f>
        <v/>
      </c>
      <c r="P51" s="9" t="n">
        <f aca="false">IF(D51="",0,MAX(0,N(E51)-N(I51)))</f>
        <v>0</v>
      </c>
      <c r="Q51" s="9" t="n">
        <f aca="false">IF(D51="",0,SUMIFS($P$8:$P$507,$D$8:$D$507,D51,$B$8:$B$507,"&lt;"&amp;B51)+SUMIFS($P$8:P50,$D$8:D50,D51,$B$8:B50,B51))</f>
        <v>0</v>
      </c>
      <c r="R51" s="9" t="n">
        <f aca="false">IF(D51="",0,IFERROR(INDEX(Suppliers!$R$7:$R$106,MATCH(D51,Suppliers!$B$7:$B$106,0)),0))</f>
        <v>0</v>
      </c>
      <c r="S51" s="9" t="str">
        <f aca="false">IF(N(K51)&gt;0,IF(H51="",99999,MIN(H51,IF(ISNUMBER(M51),M51,H51)))+ROW()/100000,"")</f>
        <v/>
      </c>
      <c r="U51" s="9" t="n">
        <f aca="false">IF(N(K51)&gt;0,N(L51),0)</f>
        <v>0</v>
      </c>
      <c r="V51" s="9" t="n">
        <f aca="false">IF(AND(N(K51)&gt;0,ISNUMBER(M51)),M51-Setup!$C$11,99999)</f>
        <v>99999</v>
      </c>
    </row>
    <row r="52" customFormat="false" ht="15" hidden="false" customHeight="false" outlineLevel="0" collapsed="false">
      <c r="A52" s="40" t="str">
        <f aca="false">IF(D52="","",ROW()-7)</f>
        <v/>
      </c>
      <c r="B52" s="79"/>
      <c r="C52" s="75"/>
      <c r="D52" s="76"/>
      <c r="E52" s="80"/>
      <c r="F52" s="79"/>
      <c r="G52" s="76"/>
      <c r="H52" s="54" t="str">
        <f aca="false">IF(OR(D52="",B52=""),"",IF(F52&lt;&gt;"",F52,B52+IFERROR(INDEX(Suppliers!$Q$7:$Q$106,MATCH(D52,Suppliers!$B$7:$B$106,0)),Setup!$C$7)))</f>
        <v/>
      </c>
      <c r="I52" s="46" t="str">
        <f aca="false">IF(OR(D52="",C52=""),IF(D52="","",0),SUMIFS(Payments!$D$8:$D$507,Payments!$C$8:$C$507,D52,Payments!$F$8:$F$507,C52))</f>
        <v/>
      </c>
      <c r="J52" s="46" t="str">
        <f aca="false">IF(D52="","",MIN(P52,MAX(0,R52-Q52)))</f>
        <v/>
      </c>
      <c r="K52" s="47" t="str">
        <f aca="false">IF(D52="","",P52-J52)</f>
        <v/>
      </c>
      <c r="L52" s="55" t="str">
        <f aca="false">IF(OR(D52="",N(K52)&lt;=0,H52=""),"",MAX(0,Setup!$C$11-H52))</f>
        <v/>
      </c>
      <c r="M52" s="54" t="str">
        <f aca="false">IF(OR(D52="",B52=""),"",IF(IFERROR(INDEX(Suppliers!$S$7:$S$106,MATCH(D52,Suppliers!$B$7:$B$106,0)),"")="","–",B52+IFERROR(INDEX(Suppliers!$S$7:$S$106,MATCH(D52,Suppliers!$B$7:$B$106,0)),"")))</f>
        <v/>
      </c>
      <c r="N52" s="56" t="str">
        <f aca="false">IF(D52="","",IF(N(K52)&lt;=0,"Paid",IF(AND(ISNUMBER(M52),Setup!$C$11&gt;M52),"⚠ MSME late",IF(N(L52)&gt;0,"Overdue",IF(N(V52)&lt;=Setup!$C$9,"⚠ MSME due soon",IF(K52&lt;E52,"Part paid","Not due"))))))</f>
        <v/>
      </c>
      <c r="O52" s="50" t="str">
        <f aca="false">IF(AND(D52="",B52="",C52="",E52=""),"",IF(D52="","⚠ Pick supplier",IF(ISNA(MATCH(D52,Suppliers!$B$7:$B$106,0)),"⚠ Supplier not in list",IF(B52="","⚠ Enter bill date",IF(N(E52)&lt;=0,"⚠ Enter amount",IF(AND(C52&lt;&gt;"",COUNTIFS($D$8:$D$507,D52,$C$8:$C$507,C52)&gt;1),"⚠ Bill no. used twice",IF(N(I52)&gt;N(E52),"⚠ Paid more than bill","✔")))))))</f>
        <v/>
      </c>
      <c r="P52" s="9" t="n">
        <f aca="false">IF(D52="",0,MAX(0,N(E52)-N(I52)))</f>
        <v>0</v>
      </c>
      <c r="Q52" s="9" t="n">
        <f aca="false">IF(D52="",0,SUMIFS($P$8:$P$507,$D$8:$D$507,D52,$B$8:$B$507,"&lt;"&amp;B52)+SUMIFS($P$8:P51,$D$8:D51,D52,$B$8:B51,B52))</f>
        <v>0</v>
      </c>
      <c r="R52" s="9" t="n">
        <f aca="false">IF(D52="",0,IFERROR(INDEX(Suppliers!$R$7:$R$106,MATCH(D52,Suppliers!$B$7:$B$106,0)),0))</f>
        <v>0</v>
      </c>
      <c r="S52" s="9" t="str">
        <f aca="false">IF(N(K52)&gt;0,IF(H52="",99999,MIN(H52,IF(ISNUMBER(M52),M52,H52)))+ROW()/100000,"")</f>
        <v/>
      </c>
      <c r="U52" s="9" t="n">
        <f aca="false">IF(N(K52)&gt;0,N(L52),0)</f>
        <v>0</v>
      </c>
      <c r="V52" s="9" t="n">
        <f aca="false">IF(AND(N(K52)&gt;0,ISNUMBER(M52)),M52-Setup!$C$11,99999)</f>
        <v>99999</v>
      </c>
    </row>
    <row r="53" customFormat="false" ht="15" hidden="false" customHeight="false" outlineLevel="0" collapsed="false">
      <c r="A53" s="40" t="str">
        <f aca="false">IF(D53="","",ROW()-7)</f>
        <v/>
      </c>
      <c r="B53" s="79"/>
      <c r="C53" s="75"/>
      <c r="D53" s="76"/>
      <c r="E53" s="80"/>
      <c r="F53" s="79"/>
      <c r="G53" s="76"/>
      <c r="H53" s="54" t="str">
        <f aca="false">IF(OR(D53="",B53=""),"",IF(F53&lt;&gt;"",F53,B53+IFERROR(INDEX(Suppliers!$Q$7:$Q$106,MATCH(D53,Suppliers!$B$7:$B$106,0)),Setup!$C$7)))</f>
        <v/>
      </c>
      <c r="I53" s="46" t="str">
        <f aca="false">IF(OR(D53="",C53=""),IF(D53="","",0),SUMIFS(Payments!$D$8:$D$507,Payments!$C$8:$C$507,D53,Payments!$F$8:$F$507,C53))</f>
        <v/>
      </c>
      <c r="J53" s="46" t="str">
        <f aca="false">IF(D53="","",MIN(P53,MAX(0,R53-Q53)))</f>
        <v/>
      </c>
      <c r="K53" s="47" t="str">
        <f aca="false">IF(D53="","",P53-J53)</f>
        <v/>
      </c>
      <c r="L53" s="55" t="str">
        <f aca="false">IF(OR(D53="",N(K53)&lt;=0,H53=""),"",MAX(0,Setup!$C$11-H53))</f>
        <v/>
      </c>
      <c r="M53" s="54" t="str">
        <f aca="false">IF(OR(D53="",B53=""),"",IF(IFERROR(INDEX(Suppliers!$S$7:$S$106,MATCH(D53,Suppliers!$B$7:$B$106,0)),"")="","–",B53+IFERROR(INDEX(Suppliers!$S$7:$S$106,MATCH(D53,Suppliers!$B$7:$B$106,0)),"")))</f>
        <v/>
      </c>
      <c r="N53" s="56" t="str">
        <f aca="false">IF(D53="","",IF(N(K53)&lt;=0,"Paid",IF(AND(ISNUMBER(M53),Setup!$C$11&gt;M53),"⚠ MSME late",IF(N(L53)&gt;0,"Overdue",IF(N(V53)&lt;=Setup!$C$9,"⚠ MSME due soon",IF(K53&lt;E53,"Part paid","Not due"))))))</f>
        <v/>
      </c>
      <c r="O53" s="50" t="str">
        <f aca="false">IF(AND(D53="",B53="",C53="",E53=""),"",IF(D53="","⚠ Pick supplier",IF(ISNA(MATCH(D53,Suppliers!$B$7:$B$106,0)),"⚠ Supplier not in list",IF(B53="","⚠ Enter bill date",IF(N(E53)&lt;=0,"⚠ Enter amount",IF(AND(C53&lt;&gt;"",COUNTIFS($D$8:$D$507,D53,$C$8:$C$507,C53)&gt;1),"⚠ Bill no. used twice",IF(N(I53)&gt;N(E53),"⚠ Paid more than bill","✔")))))))</f>
        <v/>
      </c>
      <c r="P53" s="9" t="n">
        <f aca="false">IF(D53="",0,MAX(0,N(E53)-N(I53)))</f>
        <v>0</v>
      </c>
      <c r="Q53" s="9" t="n">
        <f aca="false">IF(D53="",0,SUMIFS($P$8:$P$507,$D$8:$D$507,D53,$B$8:$B$507,"&lt;"&amp;B53)+SUMIFS($P$8:P52,$D$8:D52,D53,$B$8:B52,B53))</f>
        <v>0</v>
      </c>
      <c r="R53" s="9" t="n">
        <f aca="false">IF(D53="",0,IFERROR(INDEX(Suppliers!$R$7:$R$106,MATCH(D53,Suppliers!$B$7:$B$106,0)),0))</f>
        <v>0</v>
      </c>
      <c r="S53" s="9" t="str">
        <f aca="false">IF(N(K53)&gt;0,IF(H53="",99999,MIN(H53,IF(ISNUMBER(M53),M53,H53)))+ROW()/100000,"")</f>
        <v/>
      </c>
      <c r="U53" s="9" t="n">
        <f aca="false">IF(N(K53)&gt;0,N(L53),0)</f>
        <v>0</v>
      </c>
      <c r="V53" s="9" t="n">
        <f aca="false">IF(AND(N(K53)&gt;0,ISNUMBER(M53)),M53-Setup!$C$11,99999)</f>
        <v>99999</v>
      </c>
    </row>
    <row r="54" customFormat="false" ht="15" hidden="false" customHeight="false" outlineLevel="0" collapsed="false">
      <c r="A54" s="40" t="str">
        <f aca="false">IF(D54="","",ROW()-7)</f>
        <v/>
      </c>
      <c r="B54" s="79"/>
      <c r="C54" s="75"/>
      <c r="D54" s="76"/>
      <c r="E54" s="80"/>
      <c r="F54" s="79"/>
      <c r="G54" s="76"/>
      <c r="H54" s="54" t="str">
        <f aca="false">IF(OR(D54="",B54=""),"",IF(F54&lt;&gt;"",F54,B54+IFERROR(INDEX(Suppliers!$Q$7:$Q$106,MATCH(D54,Suppliers!$B$7:$B$106,0)),Setup!$C$7)))</f>
        <v/>
      </c>
      <c r="I54" s="46" t="str">
        <f aca="false">IF(OR(D54="",C54=""),IF(D54="","",0),SUMIFS(Payments!$D$8:$D$507,Payments!$C$8:$C$507,D54,Payments!$F$8:$F$507,C54))</f>
        <v/>
      </c>
      <c r="J54" s="46" t="str">
        <f aca="false">IF(D54="","",MIN(P54,MAX(0,R54-Q54)))</f>
        <v/>
      </c>
      <c r="K54" s="47" t="str">
        <f aca="false">IF(D54="","",P54-J54)</f>
        <v/>
      </c>
      <c r="L54" s="55" t="str">
        <f aca="false">IF(OR(D54="",N(K54)&lt;=0,H54=""),"",MAX(0,Setup!$C$11-H54))</f>
        <v/>
      </c>
      <c r="M54" s="54" t="str">
        <f aca="false">IF(OR(D54="",B54=""),"",IF(IFERROR(INDEX(Suppliers!$S$7:$S$106,MATCH(D54,Suppliers!$B$7:$B$106,0)),"")="","–",B54+IFERROR(INDEX(Suppliers!$S$7:$S$106,MATCH(D54,Suppliers!$B$7:$B$106,0)),"")))</f>
        <v/>
      </c>
      <c r="N54" s="56" t="str">
        <f aca="false">IF(D54="","",IF(N(K54)&lt;=0,"Paid",IF(AND(ISNUMBER(M54),Setup!$C$11&gt;M54),"⚠ MSME late",IF(N(L54)&gt;0,"Overdue",IF(N(V54)&lt;=Setup!$C$9,"⚠ MSME due soon",IF(K54&lt;E54,"Part paid","Not due"))))))</f>
        <v/>
      </c>
      <c r="O54" s="50" t="str">
        <f aca="false">IF(AND(D54="",B54="",C54="",E54=""),"",IF(D54="","⚠ Pick supplier",IF(ISNA(MATCH(D54,Suppliers!$B$7:$B$106,0)),"⚠ Supplier not in list",IF(B54="","⚠ Enter bill date",IF(N(E54)&lt;=0,"⚠ Enter amount",IF(AND(C54&lt;&gt;"",COUNTIFS($D$8:$D$507,D54,$C$8:$C$507,C54)&gt;1),"⚠ Bill no. used twice",IF(N(I54)&gt;N(E54),"⚠ Paid more than bill","✔")))))))</f>
        <v/>
      </c>
      <c r="P54" s="9" t="n">
        <f aca="false">IF(D54="",0,MAX(0,N(E54)-N(I54)))</f>
        <v>0</v>
      </c>
      <c r="Q54" s="9" t="n">
        <f aca="false">IF(D54="",0,SUMIFS($P$8:$P$507,$D$8:$D$507,D54,$B$8:$B$507,"&lt;"&amp;B54)+SUMIFS($P$8:P53,$D$8:D53,D54,$B$8:B53,B54))</f>
        <v>0</v>
      </c>
      <c r="R54" s="9" t="n">
        <f aca="false">IF(D54="",0,IFERROR(INDEX(Suppliers!$R$7:$R$106,MATCH(D54,Suppliers!$B$7:$B$106,0)),0))</f>
        <v>0</v>
      </c>
      <c r="S54" s="9" t="str">
        <f aca="false">IF(N(K54)&gt;0,IF(H54="",99999,MIN(H54,IF(ISNUMBER(M54),M54,H54)))+ROW()/100000,"")</f>
        <v/>
      </c>
      <c r="U54" s="9" t="n">
        <f aca="false">IF(N(K54)&gt;0,N(L54),0)</f>
        <v>0</v>
      </c>
      <c r="V54" s="9" t="n">
        <f aca="false">IF(AND(N(K54)&gt;0,ISNUMBER(M54)),M54-Setup!$C$11,99999)</f>
        <v>99999</v>
      </c>
    </row>
    <row r="55" customFormat="false" ht="15" hidden="false" customHeight="false" outlineLevel="0" collapsed="false">
      <c r="A55" s="40" t="str">
        <f aca="false">IF(D55="","",ROW()-7)</f>
        <v/>
      </c>
      <c r="B55" s="79"/>
      <c r="C55" s="75"/>
      <c r="D55" s="76"/>
      <c r="E55" s="80"/>
      <c r="F55" s="79"/>
      <c r="G55" s="76"/>
      <c r="H55" s="54" t="str">
        <f aca="false">IF(OR(D55="",B55=""),"",IF(F55&lt;&gt;"",F55,B55+IFERROR(INDEX(Suppliers!$Q$7:$Q$106,MATCH(D55,Suppliers!$B$7:$B$106,0)),Setup!$C$7)))</f>
        <v/>
      </c>
      <c r="I55" s="46" t="str">
        <f aca="false">IF(OR(D55="",C55=""),IF(D55="","",0),SUMIFS(Payments!$D$8:$D$507,Payments!$C$8:$C$507,D55,Payments!$F$8:$F$507,C55))</f>
        <v/>
      </c>
      <c r="J55" s="46" t="str">
        <f aca="false">IF(D55="","",MIN(P55,MAX(0,R55-Q55)))</f>
        <v/>
      </c>
      <c r="K55" s="47" t="str">
        <f aca="false">IF(D55="","",P55-J55)</f>
        <v/>
      </c>
      <c r="L55" s="55" t="str">
        <f aca="false">IF(OR(D55="",N(K55)&lt;=0,H55=""),"",MAX(0,Setup!$C$11-H55))</f>
        <v/>
      </c>
      <c r="M55" s="54" t="str">
        <f aca="false">IF(OR(D55="",B55=""),"",IF(IFERROR(INDEX(Suppliers!$S$7:$S$106,MATCH(D55,Suppliers!$B$7:$B$106,0)),"")="","–",B55+IFERROR(INDEX(Suppliers!$S$7:$S$106,MATCH(D55,Suppliers!$B$7:$B$106,0)),"")))</f>
        <v/>
      </c>
      <c r="N55" s="56" t="str">
        <f aca="false">IF(D55="","",IF(N(K55)&lt;=0,"Paid",IF(AND(ISNUMBER(M55),Setup!$C$11&gt;M55),"⚠ MSME late",IF(N(L55)&gt;0,"Overdue",IF(N(V55)&lt;=Setup!$C$9,"⚠ MSME due soon",IF(K55&lt;E55,"Part paid","Not due"))))))</f>
        <v/>
      </c>
      <c r="O55" s="50" t="str">
        <f aca="false">IF(AND(D55="",B55="",C55="",E55=""),"",IF(D55="","⚠ Pick supplier",IF(ISNA(MATCH(D55,Suppliers!$B$7:$B$106,0)),"⚠ Supplier not in list",IF(B55="","⚠ Enter bill date",IF(N(E55)&lt;=0,"⚠ Enter amount",IF(AND(C55&lt;&gt;"",COUNTIFS($D$8:$D$507,D55,$C$8:$C$507,C55)&gt;1),"⚠ Bill no. used twice",IF(N(I55)&gt;N(E55),"⚠ Paid more than bill","✔")))))))</f>
        <v/>
      </c>
      <c r="P55" s="9" t="n">
        <f aca="false">IF(D55="",0,MAX(0,N(E55)-N(I55)))</f>
        <v>0</v>
      </c>
      <c r="Q55" s="9" t="n">
        <f aca="false">IF(D55="",0,SUMIFS($P$8:$P$507,$D$8:$D$507,D55,$B$8:$B$507,"&lt;"&amp;B55)+SUMIFS($P$8:P54,$D$8:D54,D55,$B$8:B54,B55))</f>
        <v>0</v>
      </c>
      <c r="R55" s="9" t="n">
        <f aca="false">IF(D55="",0,IFERROR(INDEX(Suppliers!$R$7:$R$106,MATCH(D55,Suppliers!$B$7:$B$106,0)),0))</f>
        <v>0</v>
      </c>
      <c r="S55" s="9" t="str">
        <f aca="false">IF(N(K55)&gt;0,IF(H55="",99999,MIN(H55,IF(ISNUMBER(M55),M55,H55)))+ROW()/100000,"")</f>
        <v/>
      </c>
      <c r="U55" s="9" t="n">
        <f aca="false">IF(N(K55)&gt;0,N(L55),0)</f>
        <v>0</v>
      </c>
      <c r="V55" s="9" t="n">
        <f aca="false">IF(AND(N(K55)&gt;0,ISNUMBER(M55)),M55-Setup!$C$11,99999)</f>
        <v>99999</v>
      </c>
    </row>
    <row r="56" customFormat="false" ht="15" hidden="false" customHeight="false" outlineLevel="0" collapsed="false">
      <c r="A56" s="40" t="str">
        <f aca="false">IF(D56="","",ROW()-7)</f>
        <v/>
      </c>
      <c r="B56" s="79"/>
      <c r="C56" s="75"/>
      <c r="D56" s="76"/>
      <c r="E56" s="80"/>
      <c r="F56" s="79"/>
      <c r="G56" s="76"/>
      <c r="H56" s="54" t="str">
        <f aca="false">IF(OR(D56="",B56=""),"",IF(F56&lt;&gt;"",F56,B56+IFERROR(INDEX(Suppliers!$Q$7:$Q$106,MATCH(D56,Suppliers!$B$7:$B$106,0)),Setup!$C$7)))</f>
        <v/>
      </c>
      <c r="I56" s="46" t="str">
        <f aca="false">IF(OR(D56="",C56=""),IF(D56="","",0),SUMIFS(Payments!$D$8:$D$507,Payments!$C$8:$C$507,D56,Payments!$F$8:$F$507,C56))</f>
        <v/>
      </c>
      <c r="J56" s="46" t="str">
        <f aca="false">IF(D56="","",MIN(P56,MAX(0,R56-Q56)))</f>
        <v/>
      </c>
      <c r="K56" s="47" t="str">
        <f aca="false">IF(D56="","",P56-J56)</f>
        <v/>
      </c>
      <c r="L56" s="55" t="str">
        <f aca="false">IF(OR(D56="",N(K56)&lt;=0,H56=""),"",MAX(0,Setup!$C$11-H56))</f>
        <v/>
      </c>
      <c r="M56" s="54" t="str">
        <f aca="false">IF(OR(D56="",B56=""),"",IF(IFERROR(INDEX(Suppliers!$S$7:$S$106,MATCH(D56,Suppliers!$B$7:$B$106,0)),"")="","–",B56+IFERROR(INDEX(Suppliers!$S$7:$S$106,MATCH(D56,Suppliers!$B$7:$B$106,0)),"")))</f>
        <v/>
      </c>
      <c r="N56" s="56" t="str">
        <f aca="false">IF(D56="","",IF(N(K56)&lt;=0,"Paid",IF(AND(ISNUMBER(M56),Setup!$C$11&gt;M56),"⚠ MSME late",IF(N(L56)&gt;0,"Overdue",IF(N(V56)&lt;=Setup!$C$9,"⚠ MSME due soon",IF(K56&lt;E56,"Part paid","Not due"))))))</f>
        <v/>
      </c>
      <c r="O56" s="50" t="str">
        <f aca="false">IF(AND(D56="",B56="",C56="",E56=""),"",IF(D56="","⚠ Pick supplier",IF(ISNA(MATCH(D56,Suppliers!$B$7:$B$106,0)),"⚠ Supplier not in list",IF(B56="","⚠ Enter bill date",IF(N(E56)&lt;=0,"⚠ Enter amount",IF(AND(C56&lt;&gt;"",COUNTIFS($D$8:$D$507,D56,$C$8:$C$507,C56)&gt;1),"⚠ Bill no. used twice",IF(N(I56)&gt;N(E56),"⚠ Paid more than bill","✔")))))))</f>
        <v/>
      </c>
      <c r="P56" s="9" t="n">
        <f aca="false">IF(D56="",0,MAX(0,N(E56)-N(I56)))</f>
        <v>0</v>
      </c>
      <c r="Q56" s="9" t="n">
        <f aca="false">IF(D56="",0,SUMIFS($P$8:$P$507,$D$8:$D$507,D56,$B$8:$B$507,"&lt;"&amp;B56)+SUMIFS($P$8:P55,$D$8:D55,D56,$B$8:B55,B56))</f>
        <v>0</v>
      </c>
      <c r="R56" s="9" t="n">
        <f aca="false">IF(D56="",0,IFERROR(INDEX(Suppliers!$R$7:$R$106,MATCH(D56,Suppliers!$B$7:$B$106,0)),0))</f>
        <v>0</v>
      </c>
      <c r="S56" s="9" t="str">
        <f aca="false">IF(N(K56)&gt;0,IF(H56="",99999,MIN(H56,IF(ISNUMBER(M56),M56,H56)))+ROW()/100000,"")</f>
        <v/>
      </c>
      <c r="U56" s="9" t="n">
        <f aca="false">IF(N(K56)&gt;0,N(L56),0)</f>
        <v>0</v>
      </c>
      <c r="V56" s="9" t="n">
        <f aca="false">IF(AND(N(K56)&gt;0,ISNUMBER(M56)),M56-Setup!$C$11,99999)</f>
        <v>99999</v>
      </c>
    </row>
    <row r="57" customFormat="false" ht="15" hidden="false" customHeight="false" outlineLevel="0" collapsed="false">
      <c r="A57" s="40" t="str">
        <f aca="false">IF(D57="","",ROW()-7)</f>
        <v/>
      </c>
      <c r="B57" s="79"/>
      <c r="C57" s="75"/>
      <c r="D57" s="76"/>
      <c r="E57" s="80"/>
      <c r="F57" s="79"/>
      <c r="G57" s="76"/>
      <c r="H57" s="54" t="str">
        <f aca="false">IF(OR(D57="",B57=""),"",IF(F57&lt;&gt;"",F57,B57+IFERROR(INDEX(Suppliers!$Q$7:$Q$106,MATCH(D57,Suppliers!$B$7:$B$106,0)),Setup!$C$7)))</f>
        <v/>
      </c>
      <c r="I57" s="46" t="str">
        <f aca="false">IF(OR(D57="",C57=""),IF(D57="","",0),SUMIFS(Payments!$D$8:$D$507,Payments!$C$8:$C$507,D57,Payments!$F$8:$F$507,C57))</f>
        <v/>
      </c>
      <c r="J57" s="46" t="str">
        <f aca="false">IF(D57="","",MIN(P57,MAX(0,R57-Q57)))</f>
        <v/>
      </c>
      <c r="K57" s="47" t="str">
        <f aca="false">IF(D57="","",P57-J57)</f>
        <v/>
      </c>
      <c r="L57" s="55" t="str">
        <f aca="false">IF(OR(D57="",N(K57)&lt;=0,H57=""),"",MAX(0,Setup!$C$11-H57))</f>
        <v/>
      </c>
      <c r="M57" s="54" t="str">
        <f aca="false">IF(OR(D57="",B57=""),"",IF(IFERROR(INDEX(Suppliers!$S$7:$S$106,MATCH(D57,Suppliers!$B$7:$B$106,0)),"")="","–",B57+IFERROR(INDEX(Suppliers!$S$7:$S$106,MATCH(D57,Suppliers!$B$7:$B$106,0)),"")))</f>
        <v/>
      </c>
      <c r="N57" s="56" t="str">
        <f aca="false">IF(D57="","",IF(N(K57)&lt;=0,"Paid",IF(AND(ISNUMBER(M57),Setup!$C$11&gt;M57),"⚠ MSME late",IF(N(L57)&gt;0,"Overdue",IF(N(V57)&lt;=Setup!$C$9,"⚠ MSME due soon",IF(K57&lt;E57,"Part paid","Not due"))))))</f>
        <v/>
      </c>
      <c r="O57" s="50" t="str">
        <f aca="false">IF(AND(D57="",B57="",C57="",E57=""),"",IF(D57="","⚠ Pick supplier",IF(ISNA(MATCH(D57,Suppliers!$B$7:$B$106,0)),"⚠ Supplier not in list",IF(B57="","⚠ Enter bill date",IF(N(E57)&lt;=0,"⚠ Enter amount",IF(AND(C57&lt;&gt;"",COUNTIFS($D$8:$D$507,D57,$C$8:$C$507,C57)&gt;1),"⚠ Bill no. used twice",IF(N(I57)&gt;N(E57),"⚠ Paid more than bill","✔")))))))</f>
        <v/>
      </c>
      <c r="P57" s="9" t="n">
        <f aca="false">IF(D57="",0,MAX(0,N(E57)-N(I57)))</f>
        <v>0</v>
      </c>
      <c r="Q57" s="9" t="n">
        <f aca="false">IF(D57="",0,SUMIFS($P$8:$P$507,$D$8:$D$507,D57,$B$8:$B$507,"&lt;"&amp;B57)+SUMIFS($P$8:P56,$D$8:D56,D57,$B$8:B56,B57))</f>
        <v>0</v>
      </c>
      <c r="R57" s="9" t="n">
        <f aca="false">IF(D57="",0,IFERROR(INDEX(Suppliers!$R$7:$R$106,MATCH(D57,Suppliers!$B$7:$B$106,0)),0))</f>
        <v>0</v>
      </c>
      <c r="S57" s="9" t="str">
        <f aca="false">IF(N(K57)&gt;0,IF(H57="",99999,MIN(H57,IF(ISNUMBER(M57),M57,H57)))+ROW()/100000,"")</f>
        <v/>
      </c>
      <c r="U57" s="9" t="n">
        <f aca="false">IF(N(K57)&gt;0,N(L57),0)</f>
        <v>0</v>
      </c>
      <c r="V57" s="9" t="n">
        <f aca="false">IF(AND(N(K57)&gt;0,ISNUMBER(M57)),M57-Setup!$C$11,99999)</f>
        <v>99999</v>
      </c>
    </row>
    <row r="58" customFormat="false" ht="15" hidden="false" customHeight="false" outlineLevel="0" collapsed="false">
      <c r="A58" s="40" t="str">
        <f aca="false">IF(D58="","",ROW()-7)</f>
        <v/>
      </c>
      <c r="B58" s="79"/>
      <c r="C58" s="75"/>
      <c r="D58" s="76"/>
      <c r="E58" s="80"/>
      <c r="F58" s="79"/>
      <c r="G58" s="76"/>
      <c r="H58" s="54" t="str">
        <f aca="false">IF(OR(D58="",B58=""),"",IF(F58&lt;&gt;"",F58,B58+IFERROR(INDEX(Suppliers!$Q$7:$Q$106,MATCH(D58,Suppliers!$B$7:$B$106,0)),Setup!$C$7)))</f>
        <v/>
      </c>
      <c r="I58" s="46" t="str">
        <f aca="false">IF(OR(D58="",C58=""),IF(D58="","",0),SUMIFS(Payments!$D$8:$D$507,Payments!$C$8:$C$507,D58,Payments!$F$8:$F$507,C58))</f>
        <v/>
      </c>
      <c r="J58" s="46" t="str">
        <f aca="false">IF(D58="","",MIN(P58,MAX(0,R58-Q58)))</f>
        <v/>
      </c>
      <c r="K58" s="47" t="str">
        <f aca="false">IF(D58="","",P58-J58)</f>
        <v/>
      </c>
      <c r="L58" s="55" t="str">
        <f aca="false">IF(OR(D58="",N(K58)&lt;=0,H58=""),"",MAX(0,Setup!$C$11-H58))</f>
        <v/>
      </c>
      <c r="M58" s="54" t="str">
        <f aca="false">IF(OR(D58="",B58=""),"",IF(IFERROR(INDEX(Suppliers!$S$7:$S$106,MATCH(D58,Suppliers!$B$7:$B$106,0)),"")="","–",B58+IFERROR(INDEX(Suppliers!$S$7:$S$106,MATCH(D58,Suppliers!$B$7:$B$106,0)),"")))</f>
        <v/>
      </c>
      <c r="N58" s="56" t="str">
        <f aca="false">IF(D58="","",IF(N(K58)&lt;=0,"Paid",IF(AND(ISNUMBER(M58),Setup!$C$11&gt;M58),"⚠ MSME late",IF(N(L58)&gt;0,"Overdue",IF(N(V58)&lt;=Setup!$C$9,"⚠ MSME due soon",IF(K58&lt;E58,"Part paid","Not due"))))))</f>
        <v/>
      </c>
      <c r="O58" s="50" t="str">
        <f aca="false">IF(AND(D58="",B58="",C58="",E58=""),"",IF(D58="","⚠ Pick supplier",IF(ISNA(MATCH(D58,Suppliers!$B$7:$B$106,0)),"⚠ Supplier not in list",IF(B58="","⚠ Enter bill date",IF(N(E58)&lt;=0,"⚠ Enter amount",IF(AND(C58&lt;&gt;"",COUNTIFS($D$8:$D$507,D58,$C$8:$C$507,C58)&gt;1),"⚠ Bill no. used twice",IF(N(I58)&gt;N(E58),"⚠ Paid more than bill","✔")))))))</f>
        <v/>
      </c>
      <c r="P58" s="9" t="n">
        <f aca="false">IF(D58="",0,MAX(0,N(E58)-N(I58)))</f>
        <v>0</v>
      </c>
      <c r="Q58" s="9" t="n">
        <f aca="false">IF(D58="",0,SUMIFS($P$8:$P$507,$D$8:$D$507,D58,$B$8:$B$507,"&lt;"&amp;B58)+SUMIFS($P$8:P57,$D$8:D57,D58,$B$8:B57,B58))</f>
        <v>0</v>
      </c>
      <c r="R58" s="9" t="n">
        <f aca="false">IF(D58="",0,IFERROR(INDEX(Suppliers!$R$7:$R$106,MATCH(D58,Suppliers!$B$7:$B$106,0)),0))</f>
        <v>0</v>
      </c>
      <c r="S58" s="9" t="str">
        <f aca="false">IF(N(K58)&gt;0,IF(H58="",99999,MIN(H58,IF(ISNUMBER(M58),M58,H58)))+ROW()/100000,"")</f>
        <v/>
      </c>
      <c r="U58" s="9" t="n">
        <f aca="false">IF(N(K58)&gt;0,N(L58),0)</f>
        <v>0</v>
      </c>
      <c r="V58" s="9" t="n">
        <f aca="false">IF(AND(N(K58)&gt;0,ISNUMBER(M58)),M58-Setup!$C$11,99999)</f>
        <v>99999</v>
      </c>
    </row>
    <row r="59" customFormat="false" ht="15" hidden="false" customHeight="false" outlineLevel="0" collapsed="false">
      <c r="A59" s="40" t="str">
        <f aca="false">IF(D59="","",ROW()-7)</f>
        <v/>
      </c>
      <c r="B59" s="79"/>
      <c r="C59" s="75"/>
      <c r="D59" s="76"/>
      <c r="E59" s="80"/>
      <c r="F59" s="79"/>
      <c r="G59" s="76"/>
      <c r="H59" s="54" t="str">
        <f aca="false">IF(OR(D59="",B59=""),"",IF(F59&lt;&gt;"",F59,B59+IFERROR(INDEX(Suppliers!$Q$7:$Q$106,MATCH(D59,Suppliers!$B$7:$B$106,0)),Setup!$C$7)))</f>
        <v/>
      </c>
      <c r="I59" s="46" t="str">
        <f aca="false">IF(OR(D59="",C59=""),IF(D59="","",0),SUMIFS(Payments!$D$8:$D$507,Payments!$C$8:$C$507,D59,Payments!$F$8:$F$507,C59))</f>
        <v/>
      </c>
      <c r="J59" s="46" t="str">
        <f aca="false">IF(D59="","",MIN(P59,MAX(0,R59-Q59)))</f>
        <v/>
      </c>
      <c r="K59" s="47" t="str">
        <f aca="false">IF(D59="","",P59-J59)</f>
        <v/>
      </c>
      <c r="L59" s="55" t="str">
        <f aca="false">IF(OR(D59="",N(K59)&lt;=0,H59=""),"",MAX(0,Setup!$C$11-H59))</f>
        <v/>
      </c>
      <c r="M59" s="54" t="str">
        <f aca="false">IF(OR(D59="",B59=""),"",IF(IFERROR(INDEX(Suppliers!$S$7:$S$106,MATCH(D59,Suppliers!$B$7:$B$106,0)),"")="","–",B59+IFERROR(INDEX(Suppliers!$S$7:$S$106,MATCH(D59,Suppliers!$B$7:$B$106,0)),"")))</f>
        <v/>
      </c>
      <c r="N59" s="56" t="str">
        <f aca="false">IF(D59="","",IF(N(K59)&lt;=0,"Paid",IF(AND(ISNUMBER(M59),Setup!$C$11&gt;M59),"⚠ MSME late",IF(N(L59)&gt;0,"Overdue",IF(N(V59)&lt;=Setup!$C$9,"⚠ MSME due soon",IF(K59&lt;E59,"Part paid","Not due"))))))</f>
        <v/>
      </c>
      <c r="O59" s="50" t="str">
        <f aca="false">IF(AND(D59="",B59="",C59="",E59=""),"",IF(D59="","⚠ Pick supplier",IF(ISNA(MATCH(D59,Suppliers!$B$7:$B$106,0)),"⚠ Supplier not in list",IF(B59="","⚠ Enter bill date",IF(N(E59)&lt;=0,"⚠ Enter amount",IF(AND(C59&lt;&gt;"",COUNTIFS($D$8:$D$507,D59,$C$8:$C$507,C59)&gt;1),"⚠ Bill no. used twice",IF(N(I59)&gt;N(E59),"⚠ Paid more than bill","✔")))))))</f>
        <v/>
      </c>
      <c r="P59" s="9" t="n">
        <f aca="false">IF(D59="",0,MAX(0,N(E59)-N(I59)))</f>
        <v>0</v>
      </c>
      <c r="Q59" s="9" t="n">
        <f aca="false">IF(D59="",0,SUMIFS($P$8:$P$507,$D$8:$D$507,D59,$B$8:$B$507,"&lt;"&amp;B59)+SUMIFS($P$8:P58,$D$8:D58,D59,$B$8:B58,B59))</f>
        <v>0</v>
      </c>
      <c r="R59" s="9" t="n">
        <f aca="false">IF(D59="",0,IFERROR(INDEX(Suppliers!$R$7:$R$106,MATCH(D59,Suppliers!$B$7:$B$106,0)),0))</f>
        <v>0</v>
      </c>
      <c r="S59" s="9" t="str">
        <f aca="false">IF(N(K59)&gt;0,IF(H59="",99999,MIN(H59,IF(ISNUMBER(M59),M59,H59)))+ROW()/100000,"")</f>
        <v/>
      </c>
      <c r="U59" s="9" t="n">
        <f aca="false">IF(N(K59)&gt;0,N(L59),0)</f>
        <v>0</v>
      </c>
      <c r="V59" s="9" t="n">
        <f aca="false">IF(AND(N(K59)&gt;0,ISNUMBER(M59)),M59-Setup!$C$11,99999)</f>
        <v>99999</v>
      </c>
    </row>
    <row r="60" customFormat="false" ht="15" hidden="false" customHeight="false" outlineLevel="0" collapsed="false">
      <c r="A60" s="40" t="str">
        <f aca="false">IF(D60="","",ROW()-7)</f>
        <v/>
      </c>
      <c r="B60" s="79"/>
      <c r="C60" s="75"/>
      <c r="D60" s="76"/>
      <c r="E60" s="80"/>
      <c r="F60" s="79"/>
      <c r="G60" s="76"/>
      <c r="H60" s="54" t="str">
        <f aca="false">IF(OR(D60="",B60=""),"",IF(F60&lt;&gt;"",F60,B60+IFERROR(INDEX(Suppliers!$Q$7:$Q$106,MATCH(D60,Suppliers!$B$7:$B$106,0)),Setup!$C$7)))</f>
        <v/>
      </c>
      <c r="I60" s="46" t="str">
        <f aca="false">IF(OR(D60="",C60=""),IF(D60="","",0),SUMIFS(Payments!$D$8:$D$507,Payments!$C$8:$C$507,D60,Payments!$F$8:$F$507,C60))</f>
        <v/>
      </c>
      <c r="J60" s="46" t="str">
        <f aca="false">IF(D60="","",MIN(P60,MAX(0,R60-Q60)))</f>
        <v/>
      </c>
      <c r="K60" s="47" t="str">
        <f aca="false">IF(D60="","",P60-J60)</f>
        <v/>
      </c>
      <c r="L60" s="55" t="str">
        <f aca="false">IF(OR(D60="",N(K60)&lt;=0,H60=""),"",MAX(0,Setup!$C$11-H60))</f>
        <v/>
      </c>
      <c r="M60" s="54" t="str">
        <f aca="false">IF(OR(D60="",B60=""),"",IF(IFERROR(INDEX(Suppliers!$S$7:$S$106,MATCH(D60,Suppliers!$B$7:$B$106,0)),"")="","–",B60+IFERROR(INDEX(Suppliers!$S$7:$S$106,MATCH(D60,Suppliers!$B$7:$B$106,0)),"")))</f>
        <v/>
      </c>
      <c r="N60" s="56" t="str">
        <f aca="false">IF(D60="","",IF(N(K60)&lt;=0,"Paid",IF(AND(ISNUMBER(M60),Setup!$C$11&gt;M60),"⚠ MSME late",IF(N(L60)&gt;0,"Overdue",IF(N(V60)&lt;=Setup!$C$9,"⚠ MSME due soon",IF(K60&lt;E60,"Part paid","Not due"))))))</f>
        <v/>
      </c>
      <c r="O60" s="50" t="str">
        <f aca="false">IF(AND(D60="",B60="",C60="",E60=""),"",IF(D60="","⚠ Pick supplier",IF(ISNA(MATCH(D60,Suppliers!$B$7:$B$106,0)),"⚠ Supplier not in list",IF(B60="","⚠ Enter bill date",IF(N(E60)&lt;=0,"⚠ Enter amount",IF(AND(C60&lt;&gt;"",COUNTIFS($D$8:$D$507,D60,$C$8:$C$507,C60)&gt;1),"⚠ Bill no. used twice",IF(N(I60)&gt;N(E60),"⚠ Paid more than bill","✔")))))))</f>
        <v/>
      </c>
      <c r="P60" s="9" t="n">
        <f aca="false">IF(D60="",0,MAX(0,N(E60)-N(I60)))</f>
        <v>0</v>
      </c>
      <c r="Q60" s="9" t="n">
        <f aca="false">IF(D60="",0,SUMIFS($P$8:$P$507,$D$8:$D$507,D60,$B$8:$B$507,"&lt;"&amp;B60)+SUMIFS($P$8:P59,$D$8:D59,D60,$B$8:B59,B60))</f>
        <v>0</v>
      </c>
      <c r="R60" s="9" t="n">
        <f aca="false">IF(D60="",0,IFERROR(INDEX(Suppliers!$R$7:$R$106,MATCH(D60,Suppliers!$B$7:$B$106,0)),0))</f>
        <v>0</v>
      </c>
      <c r="S60" s="9" t="str">
        <f aca="false">IF(N(K60)&gt;0,IF(H60="",99999,MIN(H60,IF(ISNUMBER(M60),M60,H60)))+ROW()/100000,"")</f>
        <v/>
      </c>
      <c r="U60" s="9" t="n">
        <f aca="false">IF(N(K60)&gt;0,N(L60),0)</f>
        <v>0</v>
      </c>
      <c r="V60" s="9" t="n">
        <f aca="false">IF(AND(N(K60)&gt;0,ISNUMBER(M60)),M60-Setup!$C$11,99999)</f>
        <v>99999</v>
      </c>
    </row>
    <row r="61" customFormat="false" ht="15" hidden="false" customHeight="false" outlineLevel="0" collapsed="false">
      <c r="A61" s="40" t="str">
        <f aca="false">IF(D61="","",ROW()-7)</f>
        <v/>
      </c>
      <c r="B61" s="79"/>
      <c r="C61" s="75"/>
      <c r="D61" s="76"/>
      <c r="E61" s="80"/>
      <c r="F61" s="79"/>
      <c r="G61" s="76"/>
      <c r="H61" s="54" t="str">
        <f aca="false">IF(OR(D61="",B61=""),"",IF(F61&lt;&gt;"",F61,B61+IFERROR(INDEX(Suppliers!$Q$7:$Q$106,MATCH(D61,Suppliers!$B$7:$B$106,0)),Setup!$C$7)))</f>
        <v/>
      </c>
      <c r="I61" s="46" t="str">
        <f aca="false">IF(OR(D61="",C61=""),IF(D61="","",0),SUMIFS(Payments!$D$8:$D$507,Payments!$C$8:$C$507,D61,Payments!$F$8:$F$507,C61))</f>
        <v/>
      </c>
      <c r="J61" s="46" t="str">
        <f aca="false">IF(D61="","",MIN(P61,MAX(0,R61-Q61)))</f>
        <v/>
      </c>
      <c r="K61" s="47" t="str">
        <f aca="false">IF(D61="","",P61-J61)</f>
        <v/>
      </c>
      <c r="L61" s="55" t="str">
        <f aca="false">IF(OR(D61="",N(K61)&lt;=0,H61=""),"",MAX(0,Setup!$C$11-H61))</f>
        <v/>
      </c>
      <c r="M61" s="54" t="str">
        <f aca="false">IF(OR(D61="",B61=""),"",IF(IFERROR(INDEX(Suppliers!$S$7:$S$106,MATCH(D61,Suppliers!$B$7:$B$106,0)),"")="","–",B61+IFERROR(INDEX(Suppliers!$S$7:$S$106,MATCH(D61,Suppliers!$B$7:$B$106,0)),"")))</f>
        <v/>
      </c>
      <c r="N61" s="56" t="str">
        <f aca="false">IF(D61="","",IF(N(K61)&lt;=0,"Paid",IF(AND(ISNUMBER(M61),Setup!$C$11&gt;M61),"⚠ MSME late",IF(N(L61)&gt;0,"Overdue",IF(N(V61)&lt;=Setup!$C$9,"⚠ MSME due soon",IF(K61&lt;E61,"Part paid","Not due"))))))</f>
        <v/>
      </c>
      <c r="O61" s="50" t="str">
        <f aca="false">IF(AND(D61="",B61="",C61="",E61=""),"",IF(D61="","⚠ Pick supplier",IF(ISNA(MATCH(D61,Suppliers!$B$7:$B$106,0)),"⚠ Supplier not in list",IF(B61="","⚠ Enter bill date",IF(N(E61)&lt;=0,"⚠ Enter amount",IF(AND(C61&lt;&gt;"",COUNTIFS($D$8:$D$507,D61,$C$8:$C$507,C61)&gt;1),"⚠ Bill no. used twice",IF(N(I61)&gt;N(E61),"⚠ Paid more than bill","✔")))))))</f>
        <v/>
      </c>
      <c r="P61" s="9" t="n">
        <f aca="false">IF(D61="",0,MAX(0,N(E61)-N(I61)))</f>
        <v>0</v>
      </c>
      <c r="Q61" s="9" t="n">
        <f aca="false">IF(D61="",0,SUMIFS($P$8:$P$507,$D$8:$D$507,D61,$B$8:$B$507,"&lt;"&amp;B61)+SUMIFS($P$8:P60,$D$8:D60,D61,$B$8:B60,B61))</f>
        <v>0</v>
      </c>
      <c r="R61" s="9" t="n">
        <f aca="false">IF(D61="",0,IFERROR(INDEX(Suppliers!$R$7:$R$106,MATCH(D61,Suppliers!$B$7:$B$106,0)),0))</f>
        <v>0</v>
      </c>
      <c r="S61" s="9" t="str">
        <f aca="false">IF(N(K61)&gt;0,IF(H61="",99999,MIN(H61,IF(ISNUMBER(M61),M61,H61)))+ROW()/100000,"")</f>
        <v/>
      </c>
      <c r="U61" s="9" t="n">
        <f aca="false">IF(N(K61)&gt;0,N(L61),0)</f>
        <v>0</v>
      </c>
      <c r="V61" s="9" t="n">
        <f aca="false">IF(AND(N(K61)&gt;0,ISNUMBER(M61)),M61-Setup!$C$11,99999)</f>
        <v>99999</v>
      </c>
    </row>
    <row r="62" customFormat="false" ht="15" hidden="false" customHeight="false" outlineLevel="0" collapsed="false">
      <c r="A62" s="40" t="str">
        <f aca="false">IF(D62="","",ROW()-7)</f>
        <v/>
      </c>
      <c r="B62" s="79"/>
      <c r="C62" s="75"/>
      <c r="D62" s="76"/>
      <c r="E62" s="80"/>
      <c r="F62" s="79"/>
      <c r="G62" s="76"/>
      <c r="H62" s="54" t="str">
        <f aca="false">IF(OR(D62="",B62=""),"",IF(F62&lt;&gt;"",F62,B62+IFERROR(INDEX(Suppliers!$Q$7:$Q$106,MATCH(D62,Suppliers!$B$7:$B$106,0)),Setup!$C$7)))</f>
        <v/>
      </c>
      <c r="I62" s="46" t="str">
        <f aca="false">IF(OR(D62="",C62=""),IF(D62="","",0),SUMIFS(Payments!$D$8:$D$507,Payments!$C$8:$C$507,D62,Payments!$F$8:$F$507,C62))</f>
        <v/>
      </c>
      <c r="J62" s="46" t="str">
        <f aca="false">IF(D62="","",MIN(P62,MAX(0,R62-Q62)))</f>
        <v/>
      </c>
      <c r="K62" s="47" t="str">
        <f aca="false">IF(D62="","",P62-J62)</f>
        <v/>
      </c>
      <c r="L62" s="55" t="str">
        <f aca="false">IF(OR(D62="",N(K62)&lt;=0,H62=""),"",MAX(0,Setup!$C$11-H62))</f>
        <v/>
      </c>
      <c r="M62" s="54" t="str">
        <f aca="false">IF(OR(D62="",B62=""),"",IF(IFERROR(INDEX(Suppliers!$S$7:$S$106,MATCH(D62,Suppliers!$B$7:$B$106,0)),"")="","–",B62+IFERROR(INDEX(Suppliers!$S$7:$S$106,MATCH(D62,Suppliers!$B$7:$B$106,0)),"")))</f>
        <v/>
      </c>
      <c r="N62" s="56" t="str">
        <f aca="false">IF(D62="","",IF(N(K62)&lt;=0,"Paid",IF(AND(ISNUMBER(M62),Setup!$C$11&gt;M62),"⚠ MSME late",IF(N(L62)&gt;0,"Overdue",IF(N(V62)&lt;=Setup!$C$9,"⚠ MSME due soon",IF(K62&lt;E62,"Part paid","Not due"))))))</f>
        <v/>
      </c>
      <c r="O62" s="50" t="str">
        <f aca="false">IF(AND(D62="",B62="",C62="",E62=""),"",IF(D62="","⚠ Pick supplier",IF(ISNA(MATCH(D62,Suppliers!$B$7:$B$106,0)),"⚠ Supplier not in list",IF(B62="","⚠ Enter bill date",IF(N(E62)&lt;=0,"⚠ Enter amount",IF(AND(C62&lt;&gt;"",COUNTIFS($D$8:$D$507,D62,$C$8:$C$507,C62)&gt;1),"⚠ Bill no. used twice",IF(N(I62)&gt;N(E62),"⚠ Paid more than bill","✔")))))))</f>
        <v/>
      </c>
      <c r="P62" s="9" t="n">
        <f aca="false">IF(D62="",0,MAX(0,N(E62)-N(I62)))</f>
        <v>0</v>
      </c>
      <c r="Q62" s="9" t="n">
        <f aca="false">IF(D62="",0,SUMIFS($P$8:$P$507,$D$8:$D$507,D62,$B$8:$B$507,"&lt;"&amp;B62)+SUMIFS($P$8:P61,$D$8:D61,D62,$B$8:B61,B62))</f>
        <v>0</v>
      </c>
      <c r="R62" s="9" t="n">
        <f aca="false">IF(D62="",0,IFERROR(INDEX(Suppliers!$R$7:$R$106,MATCH(D62,Suppliers!$B$7:$B$106,0)),0))</f>
        <v>0</v>
      </c>
      <c r="S62" s="9" t="str">
        <f aca="false">IF(N(K62)&gt;0,IF(H62="",99999,MIN(H62,IF(ISNUMBER(M62),M62,H62)))+ROW()/100000,"")</f>
        <v/>
      </c>
      <c r="U62" s="9" t="n">
        <f aca="false">IF(N(K62)&gt;0,N(L62),0)</f>
        <v>0</v>
      </c>
      <c r="V62" s="9" t="n">
        <f aca="false">IF(AND(N(K62)&gt;0,ISNUMBER(M62)),M62-Setup!$C$11,99999)</f>
        <v>99999</v>
      </c>
    </row>
    <row r="63" customFormat="false" ht="15" hidden="false" customHeight="false" outlineLevel="0" collapsed="false">
      <c r="A63" s="40" t="str">
        <f aca="false">IF(D63="","",ROW()-7)</f>
        <v/>
      </c>
      <c r="B63" s="79"/>
      <c r="C63" s="75"/>
      <c r="D63" s="76"/>
      <c r="E63" s="80"/>
      <c r="F63" s="79"/>
      <c r="G63" s="76"/>
      <c r="H63" s="54" t="str">
        <f aca="false">IF(OR(D63="",B63=""),"",IF(F63&lt;&gt;"",F63,B63+IFERROR(INDEX(Suppliers!$Q$7:$Q$106,MATCH(D63,Suppliers!$B$7:$B$106,0)),Setup!$C$7)))</f>
        <v/>
      </c>
      <c r="I63" s="46" t="str">
        <f aca="false">IF(OR(D63="",C63=""),IF(D63="","",0),SUMIFS(Payments!$D$8:$D$507,Payments!$C$8:$C$507,D63,Payments!$F$8:$F$507,C63))</f>
        <v/>
      </c>
      <c r="J63" s="46" t="str">
        <f aca="false">IF(D63="","",MIN(P63,MAX(0,R63-Q63)))</f>
        <v/>
      </c>
      <c r="K63" s="47" t="str">
        <f aca="false">IF(D63="","",P63-J63)</f>
        <v/>
      </c>
      <c r="L63" s="55" t="str">
        <f aca="false">IF(OR(D63="",N(K63)&lt;=0,H63=""),"",MAX(0,Setup!$C$11-H63))</f>
        <v/>
      </c>
      <c r="M63" s="54" t="str">
        <f aca="false">IF(OR(D63="",B63=""),"",IF(IFERROR(INDEX(Suppliers!$S$7:$S$106,MATCH(D63,Suppliers!$B$7:$B$106,0)),"")="","–",B63+IFERROR(INDEX(Suppliers!$S$7:$S$106,MATCH(D63,Suppliers!$B$7:$B$106,0)),"")))</f>
        <v/>
      </c>
      <c r="N63" s="56" t="str">
        <f aca="false">IF(D63="","",IF(N(K63)&lt;=0,"Paid",IF(AND(ISNUMBER(M63),Setup!$C$11&gt;M63),"⚠ MSME late",IF(N(L63)&gt;0,"Overdue",IF(N(V63)&lt;=Setup!$C$9,"⚠ MSME due soon",IF(K63&lt;E63,"Part paid","Not due"))))))</f>
        <v/>
      </c>
      <c r="O63" s="50" t="str">
        <f aca="false">IF(AND(D63="",B63="",C63="",E63=""),"",IF(D63="","⚠ Pick supplier",IF(ISNA(MATCH(D63,Suppliers!$B$7:$B$106,0)),"⚠ Supplier not in list",IF(B63="","⚠ Enter bill date",IF(N(E63)&lt;=0,"⚠ Enter amount",IF(AND(C63&lt;&gt;"",COUNTIFS($D$8:$D$507,D63,$C$8:$C$507,C63)&gt;1),"⚠ Bill no. used twice",IF(N(I63)&gt;N(E63),"⚠ Paid more than bill","✔")))))))</f>
        <v/>
      </c>
      <c r="P63" s="9" t="n">
        <f aca="false">IF(D63="",0,MAX(0,N(E63)-N(I63)))</f>
        <v>0</v>
      </c>
      <c r="Q63" s="9" t="n">
        <f aca="false">IF(D63="",0,SUMIFS($P$8:$P$507,$D$8:$D$507,D63,$B$8:$B$507,"&lt;"&amp;B63)+SUMIFS($P$8:P62,$D$8:D62,D63,$B$8:B62,B63))</f>
        <v>0</v>
      </c>
      <c r="R63" s="9" t="n">
        <f aca="false">IF(D63="",0,IFERROR(INDEX(Suppliers!$R$7:$R$106,MATCH(D63,Suppliers!$B$7:$B$106,0)),0))</f>
        <v>0</v>
      </c>
      <c r="S63" s="9" t="str">
        <f aca="false">IF(N(K63)&gt;0,IF(H63="",99999,MIN(H63,IF(ISNUMBER(M63),M63,H63)))+ROW()/100000,"")</f>
        <v/>
      </c>
      <c r="U63" s="9" t="n">
        <f aca="false">IF(N(K63)&gt;0,N(L63),0)</f>
        <v>0</v>
      </c>
      <c r="V63" s="9" t="n">
        <f aca="false">IF(AND(N(K63)&gt;0,ISNUMBER(M63)),M63-Setup!$C$11,99999)</f>
        <v>99999</v>
      </c>
    </row>
    <row r="64" customFormat="false" ht="15" hidden="false" customHeight="false" outlineLevel="0" collapsed="false">
      <c r="A64" s="40" t="str">
        <f aca="false">IF(D64="","",ROW()-7)</f>
        <v/>
      </c>
      <c r="B64" s="79"/>
      <c r="C64" s="75"/>
      <c r="D64" s="76"/>
      <c r="E64" s="80"/>
      <c r="F64" s="79"/>
      <c r="G64" s="76"/>
      <c r="H64" s="54" t="str">
        <f aca="false">IF(OR(D64="",B64=""),"",IF(F64&lt;&gt;"",F64,B64+IFERROR(INDEX(Suppliers!$Q$7:$Q$106,MATCH(D64,Suppliers!$B$7:$B$106,0)),Setup!$C$7)))</f>
        <v/>
      </c>
      <c r="I64" s="46" t="str">
        <f aca="false">IF(OR(D64="",C64=""),IF(D64="","",0),SUMIFS(Payments!$D$8:$D$507,Payments!$C$8:$C$507,D64,Payments!$F$8:$F$507,C64))</f>
        <v/>
      </c>
      <c r="J64" s="46" t="str">
        <f aca="false">IF(D64="","",MIN(P64,MAX(0,R64-Q64)))</f>
        <v/>
      </c>
      <c r="K64" s="47" t="str">
        <f aca="false">IF(D64="","",P64-J64)</f>
        <v/>
      </c>
      <c r="L64" s="55" t="str">
        <f aca="false">IF(OR(D64="",N(K64)&lt;=0,H64=""),"",MAX(0,Setup!$C$11-H64))</f>
        <v/>
      </c>
      <c r="M64" s="54" t="str">
        <f aca="false">IF(OR(D64="",B64=""),"",IF(IFERROR(INDEX(Suppliers!$S$7:$S$106,MATCH(D64,Suppliers!$B$7:$B$106,0)),"")="","–",B64+IFERROR(INDEX(Suppliers!$S$7:$S$106,MATCH(D64,Suppliers!$B$7:$B$106,0)),"")))</f>
        <v/>
      </c>
      <c r="N64" s="56" t="str">
        <f aca="false">IF(D64="","",IF(N(K64)&lt;=0,"Paid",IF(AND(ISNUMBER(M64),Setup!$C$11&gt;M64),"⚠ MSME late",IF(N(L64)&gt;0,"Overdue",IF(N(V64)&lt;=Setup!$C$9,"⚠ MSME due soon",IF(K64&lt;E64,"Part paid","Not due"))))))</f>
        <v/>
      </c>
      <c r="O64" s="50" t="str">
        <f aca="false">IF(AND(D64="",B64="",C64="",E64=""),"",IF(D64="","⚠ Pick supplier",IF(ISNA(MATCH(D64,Suppliers!$B$7:$B$106,0)),"⚠ Supplier not in list",IF(B64="","⚠ Enter bill date",IF(N(E64)&lt;=0,"⚠ Enter amount",IF(AND(C64&lt;&gt;"",COUNTIFS($D$8:$D$507,D64,$C$8:$C$507,C64)&gt;1),"⚠ Bill no. used twice",IF(N(I64)&gt;N(E64),"⚠ Paid more than bill","✔")))))))</f>
        <v/>
      </c>
      <c r="P64" s="9" t="n">
        <f aca="false">IF(D64="",0,MAX(0,N(E64)-N(I64)))</f>
        <v>0</v>
      </c>
      <c r="Q64" s="9" t="n">
        <f aca="false">IF(D64="",0,SUMIFS($P$8:$P$507,$D$8:$D$507,D64,$B$8:$B$507,"&lt;"&amp;B64)+SUMIFS($P$8:P63,$D$8:D63,D64,$B$8:B63,B64))</f>
        <v>0</v>
      </c>
      <c r="R64" s="9" t="n">
        <f aca="false">IF(D64="",0,IFERROR(INDEX(Suppliers!$R$7:$R$106,MATCH(D64,Suppliers!$B$7:$B$106,0)),0))</f>
        <v>0</v>
      </c>
      <c r="S64" s="9" t="str">
        <f aca="false">IF(N(K64)&gt;0,IF(H64="",99999,MIN(H64,IF(ISNUMBER(M64),M64,H64)))+ROW()/100000,"")</f>
        <v/>
      </c>
      <c r="U64" s="9" t="n">
        <f aca="false">IF(N(K64)&gt;0,N(L64),0)</f>
        <v>0</v>
      </c>
      <c r="V64" s="9" t="n">
        <f aca="false">IF(AND(N(K64)&gt;0,ISNUMBER(M64)),M64-Setup!$C$11,99999)</f>
        <v>99999</v>
      </c>
    </row>
    <row r="65" customFormat="false" ht="15" hidden="false" customHeight="false" outlineLevel="0" collapsed="false">
      <c r="A65" s="40" t="str">
        <f aca="false">IF(D65="","",ROW()-7)</f>
        <v/>
      </c>
      <c r="B65" s="79"/>
      <c r="C65" s="75"/>
      <c r="D65" s="76"/>
      <c r="E65" s="80"/>
      <c r="F65" s="79"/>
      <c r="G65" s="76"/>
      <c r="H65" s="54" t="str">
        <f aca="false">IF(OR(D65="",B65=""),"",IF(F65&lt;&gt;"",F65,B65+IFERROR(INDEX(Suppliers!$Q$7:$Q$106,MATCH(D65,Suppliers!$B$7:$B$106,0)),Setup!$C$7)))</f>
        <v/>
      </c>
      <c r="I65" s="46" t="str">
        <f aca="false">IF(OR(D65="",C65=""),IF(D65="","",0),SUMIFS(Payments!$D$8:$D$507,Payments!$C$8:$C$507,D65,Payments!$F$8:$F$507,C65))</f>
        <v/>
      </c>
      <c r="J65" s="46" t="str">
        <f aca="false">IF(D65="","",MIN(P65,MAX(0,R65-Q65)))</f>
        <v/>
      </c>
      <c r="K65" s="47" t="str">
        <f aca="false">IF(D65="","",P65-J65)</f>
        <v/>
      </c>
      <c r="L65" s="55" t="str">
        <f aca="false">IF(OR(D65="",N(K65)&lt;=0,H65=""),"",MAX(0,Setup!$C$11-H65))</f>
        <v/>
      </c>
      <c r="M65" s="54" t="str">
        <f aca="false">IF(OR(D65="",B65=""),"",IF(IFERROR(INDEX(Suppliers!$S$7:$S$106,MATCH(D65,Suppliers!$B$7:$B$106,0)),"")="","–",B65+IFERROR(INDEX(Suppliers!$S$7:$S$106,MATCH(D65,Suppliers!$B$7:$B$106,0)),"")))</f>
        <v/>
      </c>
      <c r="N65" s="56" t="str">
        <f aca="false">IF(D65="","",IF(N(K65)&lt;=0,"Paid",IF(AND(ISNUMBER(M65),Setup!$C$11&gt;M65),"⚠ MSME late",IF(N(L65)&gt;0,"Overdue",IF(N(V65)&lt;=Setup!$C$9,"⚠ MSME due soon",IF(K65&lt;E65,"Part paid","Not due"))))))</f>
        <v/>
      </c>
      <c r="O65" s="50" t="str">
        <f aca="false">IF(AND(D65="",B65="",C65="",E65=""),"",IF(D65="","⚠ Pick supplier",IF(ISNA(MATCH(D65,Suppliers!$B$7:$B$106,0)),"⚠ Supplier not in list",IF(B65="","⚠ Enter bill date",IF(N(E65)&lt;=0,"⚠ Enter amount",IF(AND(C65&lt;&gt;"",COUNTIFS($D$8:$D$507,D65,$C$8:$C$507,C65)&gt;1),"⚠ Bill no. used twice",IF(N(I65)&gt;N(E65),"⚠ Paid more than bill","✔")))))))</f>
        <v/>
      </c>
      <c r="P65" s="9" t="n">
        <f aca="false">IF(D65="",0,MAX(0,N(E65)-N(I65)))</f>
        <v>0</v>
      </c>
      <c r="Q65" s="9" t="n">
        <f aca="false">IF(D65="",0,SUMIFS($P$8:$P$507,$D$8:$D$507,D65,$B$8:$B$507,"&lt;"&amp;B65)+SUMIFS($P$8:P64,$D$8:D64,D65,$B$8:B64,B65))</f>
        <v>0</v>
      </c>
      <c r="R65" s="9" t="n">
        <f aca="false">IF(D65="",0,IFERROR(INDEX(Suppliers!$R$7:$R$106,MATCH(D65,Suppliers!$B$7:$B$106,0)),0))</f>
        <v>0</v>
      </c>
      <c r="S65" s="9" t="str">
        <f aca="false">IF(N(K65)&gt;0,IF(H65="",99999,MIN(H65,IF(ISNUMBER(M65),M65,H65)))+ROW()/100000,"")</f>
        <v/>
      </c>
      <c r="U65" s="9" t="n">
        <f aca="false">IF(N(K65)&gt;0,N(L65),0)</f>
        <v>0</v>
      </c>
      <c r="V65" s="9" t="n">
        <f aca="false">IF(AND(N(K65)&gt;0,ISNUMBER(M65)),M65-Setup!$C$11,99999)</f>
        <v>99999</v>
      </c>
    </row>
    <row r="66" customFormat="false" ht="15" hidden="false" customHeight="false" outlineLevel="0" collapsed="false">
      <c r="A66" s="40" t="str">
        <f aca="false">IF(D66="","",ROW()-7)</f>
        <v/>
      </c>
      <c r="B66" s="79"/>
      <c r="C66" s="75"/>
      <c r="D66" s="76"/>
      <c r="E66" s="80"/>
      <c r="F66" s="79"/>
      <c r="G66" s="76"/>
      <c r="H66" s="54" t="str">
        <f aca="false">IF(OR(D66="",B66=""),"",IF(F66&lt;&gt;"",F66,B66+IFERROR(INDEX(Suppliers!$Q$7:$Q$106,MATCH(D66,Suppliers!$B$7:$B$106,0)),Setup!$C$7)))</f>
        <v/>
      </c>
      <c r="I66" s="46" t="str">
        <f aca="false">IF(OR(D66="",C66=""),IF(D66="","",0),SUMIFS(Payments!$D$8:$D$507,Payments!$C$8:$C$507,D66,Payments!$F$8:$F$507,C66))</f>
        <v/>
      </c>
      <c r="J66" s="46" t="str">
        <f aca="false">IF(D66="","",MIN(P66,MAX(0,R66-Q66)))</f>
        <v/>
      </c>
      <c r="K66" s="47" t="str">
        <f aca="false">IF(D66="","",P66-J66)</f>
        <v/>
      </c>
      <c r="L66" s="55" t="str">
        <f aca="false">IF(OR(D66="",N(K66)&lt;=0,H66=""),"",MAX(0,Setup!$C$11-H66))</f>
        <v/>
      </c>
      <c r="M66" s="54" t="str">
        <f aca="false">IF(OR(D66="",B66=""),"",IF(IFERROR(INDEX(Suppliers!$S$7:$S$106,MATCH(D66,Suppliers!$B$7:$B$106,0)),"")="","–",B66+IFERROR(INDEX(Suppliers!$S$7:$S$106,MATCH(D66,Suppliers!$B$7:$B$106,0)),"")))</f>
        <v/>
      </c>
      <c r="N66" s="56" t="str">
        <f aca="false">IF(D66="","",IF(N(K66)&lt;=0,"Paid",IF(AND(ISNUMBER(M66),Setup!$C$11&gt;M66),"⚠ MSME late",IF(N(L66)&gt;0,"Overdue",IF(N(V66)&lt;=Setup!$C$9,"⚠ MSME due soon",IF(K66&lt;E66,"Part paid","Not due"))))))</f>
        <v/>
      </c>
      <c r="O66" s="50" t="str">
        <f aca="false">IF(AND(D66="",B66="",C66="",E66=""),"",IF(D66="","⚠ Pick supplier",IF(ISNA(MATCH(D66,Suppliers!$B$7:$B$106,0)),"⚠ Supplier not in list",IF(B66="","⚠ Enter bill date",IF(N(E66)&lt;=0,"⚠ Enter amount",IF(AND(C66&lt;&gt;"",COUNTIFS($D$8:$D$507,D66,$C$8:$C$507,C66)&gt;1),"⚠ Bill no. used twice",IF(N(I66)&gt;N(E66),"⚠ Paid more than bill","✔")))))))</f>
        <v/>
      </c>
      <c r="P66" s="9" t="n">
        <f aca="false">IF(D66="",0,MAX(0,N(E66)-N(I66)))</f>
        <v>0</v>
      </c>
      <c r="Q66" s="9" t="n">
        <f aca="false">IF(D66="",0,SUMIFS($P$8:$P$507,$D$8:$D$507,D66,$B$8:$B$507,"&lt;"&amp;B66)+SUMIFS($P$8:P65,$D$8:D65,D66,$B$8:B65,B66))</f>
        <v>0</v>
      </c>
      <c r="R66" s="9" t="n">
        <f aca="false">IF(D66="",0,IFERROR(INDEX(Suppliers!$R$7:$R$106,MATCH(D66,Suppliers!$B$7:$B$106,0)),0))</f>
        <v>0</v>
      </c>
      <c r="S66" s="9" t="str">
        <f aca="false">IF(N(K66)&gt;0,IF(H66="",99999,MIN(H66,IF(ISNUMBER(M66),M66,H66)))+ROW()/100000,"")</f>
        <v/>
      </c>
      <c r="U66" s="9" t="n">
        <f aca="false">IF(N(K66)&gt;0,N(L66),0)</f>
        <v>0</v>
      </c>
      <c r="V66" s="9" t="n">
        <f aca="false">IF(AND(N(K66)&gt;0,ISNUMBER(M66)),M66-Setup!$C$11,99999)</f>
        <v>99999</v>
      </c>
    </row>
    <row r="67" customFormat="false" ht="15" hidden="false" customHeight="false" outlineLevel="0" collapsed="false">
      <c r="A67" s="40" t="str">
        <f aca="false">IF(D67="","",ROW()-7)</f>
        <v/>
      </c>
      <c r="B67" s="79"/>
      <c r="C67" s="75"/>
      <c r="D67" s="76"/>
      <c r="E67" s="80"/>
      <c r="F67" s="79"/>
      <c r="G67" s="76"/>
      <c r="H67" s="54" t="str">
        <f aca="false">IF(OR(D67="",B67=""),"",IF(F67&lt;&gt;"",F67,B67+IFERROR(INDEX(Suppliers!$Q$7:$Q$106,MATCH(D67,Suppliers!$B$7:$B$106,0)),Setup!$C$7)))</f>
        <v/>
      </c>
      <c r="I67" s="46" t="str">
        <f aca="false">IF(OR(D67="",C67=""),IF(D67="","",0),SUMIFS(Payments!$D$8:$D$507,Payments!$C$8:$C$507,D67,Payments!$F$8:$F$507,C67))</f>
        <v/>
      </c>
      <c r="J67" s="46" t="str">
        <f aca="false">IF(D67="","",MIN(P67,MAX(0,R67-Q67)))</f>
        <v/>
      </c>
      <c r="K67" s="47" t="str">
        <f aca="false">IF(D67="","",P67-J67)</f>
        <v/>
      </c>
      <c r="L67" s="55" t="str">
        <f aca="false">IF(OR(D67="",N(K67)&lt;=0,H67=""),"",MAX(0,Setup!$C$11-H67))</f>
        <v/>
      </c>
      <c r="M67" s="54" t="str">
        <f aca="false">IF(OR(D67="",B67=""),"",IF(IFERROR(INDEX(Suppliers!$S$7:$S$106,MATCH(D67,Suppliers!$B$7:$B$106,0)),"")="","–",B67+IFERROR(INDEX(Suppliers!$S$7:$S$106,MATCH(D67,Suppliers!$B$7:$B$106,0)),"")))</f>
        <v/>
      </c>
      <c r="N67" s="56" t="str">
        <f aca="false">IF(D67="","",IF(N(K67)&lt;=0,"Paid",IF(AND(ISNUMBER(M67),Setup!$C$11&gt;M67),"⚠ MSME late",IF(N(L67)&gt;0,"Overdue",IF(N(V67)&lt;=Setup!$C$9,"⚠ MSME due soon",IF(K67&lt;E67,"Part paid","Not due"))))))</f>
        <v/>
      </c>
      <c r="O67" s="50" t="str">
        <f aca="false">IF(AND(D67="",B67="",C67="",E67=""),"",IF(D67="","⚠ Pick supplier",IF(ISNA(MATCH(D67,Suppliers!$B$7:$B$106,0)),"⚠ Supplier not in list",IF(B67="","⚠ Enter bill date",IF(N(E67)&lt;=0,"⚠ Enter amount",IF(AND(C67&lt;&gt;"",COUNTIFS($D$8:$D$507,D67,$C$8:$C$507,C67)&gt;1),"⚠ Bill no. used twice",IF(N(I67)&gt;N(E67),"⚠ Paid more than bill","✔")))))))</f>
        <v/>
      </c>
      <c r="P67" s="9" t="n">
        <f aca="false">IF(D67="",0,MAX(0,N(E67)-N(I67)))</f>
        <v>0</v>
      </c>
      <c r="Q67" s="9" t="n">
        <f aca="false">IF(D67="",0,SUMIFS($P$8:$P$507,$D$8:$D$507,D67,$B$8:$B$507,"&lt;"&amp;B67)+SUMIFS($P$8:P66,$D$8:D66,D67,$B$8:B66,B67))</f>
        <v>0</v>
      </c>
      <c r="R67" s="9" t="n">
        <f aca="false">IF(D67="",0,IFERROR(INDEX(Suppliers!$R$7:$R$106,MATCH(D67,Suppliers!$B$7:$B$106,0)),0))</f>
        <v>0</v>
      </c>
      <c r="S67" s="9" t="str">
        <f aca="false">IF(N(K67)&gt;0,IF(H67="",99999,MIN(H67,IF(ISNUMBER(M67),M67,H67)))+ROW()/100000,"")</f>
        <v/>
      </c>
      <c r="U67" s="9" t="n">
        <f aca="false">IF(N(K67)&gt;0,N(L67),0)</f>
        <v>0</v>
      </c>
      <c r="V67" s="9" t="n">
        <f aca="false">IF(AND(N(K67)&gt;0,ISNUMBER(M67)),M67-Setup!$C$11,99999)</f>
        <v>99999</v>
      </c>
    </row>
    <row r="68" customFormat="false" ht="15" hidden="false" customHeight="false" outlineLevel="0" collapsed="false">
      <c r="A68" s="40" t="str">
        <f aca="false">IF(D68="","",ROW()-7)</f>
        <v/>
      </c>
      <c r="B68" s="79"/>
      <c r="C68" s="75"/>
      <c r="D68" s="76"/>
      <c r="E68" s="80"/>
      <c r="F68" s="79"/>
      <c r="G68" s="76"/>
      <c r="H68" s="54" t="str">
        <f aca="false">IF(OR(D68="",B68=""),"",IF(F68&lt;&gt;"",F68,B68+IFERROR(INDEX(Suppliers!$Q$7:$Q$106,MATCH(D68,Suppliers!$B$7:$B$106,0)),Setup!$C$7)))</f>
        <v/>
      </c>
      <c r="I68" s="46" t="str">
        <f aca="false">IF(OR(D68="",C68=""),IF(D68="","",0),SUMIFS(Payments!$D$8:$D$507,Payments!$C$8:$C$507,D68,Payments!$F$8:$F$507,C68))</f>
        <v/>
      </c>
      <c r="J68" s="46" t="str">
        <f aca="false">IF(D68="","",MIN(P68,MAX(0,R68-Q68)))</f>
        <v/>
      </c>
      <c r="K68" s="47" t="str">
        <f aca="false">IF(D68="","",P68-J68)</f>
        <v/>
      </c>
      <c r="L68" s="55" t="str">
        <f aca="false">IF(OR(D68="",N(K68)&lt;=0,H68=""),"",MAX(0,Setup!$C$11-H68))</f>
        <v/>
      </c>
      <c r="M68" s="54" t="str">
        <f aca="false">IF(OR(D68="",B68=""),"",IF(IFERROR(INDEX(Suppliers!$S$7:$S$106,MATCH(D68,Suppliers!$B$7:$B$106,0)),"")="","–",B68+IFERROR(INDEX(Suppliers!$S$7:$S$106,MATCH(D68,Suppliers!$B$7:$B$106,0)),"")))</f>
        <v/>
      </c>
      <c r="N68" s="56" t="str">
        <f aca="false">IF(D68="","",IF(N(K68)&lt;=0,"Paid",IF(AND(ISNUMBER(M68),Setup!$C$11&gt;M68),"⚠ MSME late",IF(N(L68)&gt;0,"Overdue",IF(N(V68)&lt;=Setup!$C$9,"⚠ MSME due soon",IF(K68&lt;E68,"Part paid","Not due"))))))</f>
        <v/>
      </c>
      <c r="O68" s="50" t="str">
        <f aca="false">IF(AND(D68="",B68="",C68="",E68=""),"",IF(D68="","⚠ Pick supplier",IF(ISNA(MATCH(D68,Suppliers!$B$7:$B$106,0)),"⚠ Supplier not in list",IF(B68="","⚠ Enter bill date",IF(N(E68)&lt;=0,"⚠ Enter amount",IF(AND(C68&lt;&gt;"",COUNTIFS($D$8:$D$507,D68,$C$8:$C$507,C68)&gt;1),"⚠ Bill no. used twice",IF(N(I68)&gt;N(E68),"⚠ Paid more than bill","✔")))))))</f>
        <v/>
      </c>
      <c r="P68" s="9" t="n">
        <f aca="false">IF(D68="",0,MAX(0,N(E68)-N(I68)))</f>
        <v>0</v>
      </c>
      <c r="Q68" s="9" t="n">
        <f aca="false">IF(D68="",0,SUMIFS($P$8:$P$507,$D$8:$D$507,D68,$B$8:$B$507,"&lt;"&amp;B68)+SUMIFS($P$8:P67,$D$8:D67,D68,$B$8:B67,B68))</f>
        <v>0</v>
      </c>
      <c r="R68" s="9" t="n">
        <f aca="false">IF(D68="",0,IFERROR(INDEX(Suppliers!$R$7:$R$106,MATCH(D68,Suppliers!$B$7:$B$106,0)),0))</f>
        <v>0</v>
      </c>
      <c r="S68" s="9" t="str">
        <f aca="false">IF(N(K68)&gt;0,IF(H68="",99999,MIN(H68,IF(ISNUMBER(M68),M68,H68)))+ROW()/100000,"")</f>
        <v/>
      </c>
      <c r="U68" s="9" t="n">
        <f aca="false">IF(N(K68)&gt;0,N(L68),0)</f>
        <v>0</v>
      </c>
      <c r="V68" s="9" t="n">
        <f aca="false">IF(AND(N(K68)&gt;0,ISNUMBER(M68)),M68-Setup!$C$11,99999)</f>
        <v>99999</v>
      </c>
    </row>
    <row r="69" customFormat="false" ht="15" hidden="false" customHeight="false" outlineLevel="0" collapsed="false">
      <c r="A69" s="40" t="str">
        <f aca="false">IF(D69="","",ROW()-7)</f>
        <v/>
      </c>
      <c r="B69" s="79"/>
      <c r="C69" s="75"/>
      <c r="D69" s="76"/>
      <c r="E69" s="80"/>
      <c r="F69" s="79"/>
      <c r="G69" s="76"/>
      <c r="H69" s="54" t="str">
        <f aca="false">IF(OR(D69="",B69=""),"",IF(F69&lt;&gt;"",F69,B69+IFERROR(INDEX(Suppliers!$Q$7:$Q$106,MATCH(D69,Suppliers!$B$7:$B$106,0)),Setup!$C$7)))</f>
        <v/>
      </c>
      <c r="I69" s="46" t="str">
        <f aca="false">IF(OR(D69="",C69=""),IF(D69="","",0),SUMIFS(Payments!$D$8:$D$507,Payments!$C$8:$C$507,D69,Payments!$F$8:$F$507,C69))</f>
        <v/>
      </c>
      <c r="J69" s="46" t="str">
        <f aca="false">IF(D69="","",MIN(P69,MAX(0,R69-Q69)))</f>
        <v/>
      </c>
      <c r="K69" s="47" t="str">
        <f aca="false">IF(D69="","",P69-J69)</f>
        <v/>
      </c>
      <c r="L69" s="55" t="str">
        <f aca="false">IF(OR(D69="",N(K69)&lt;=0,H69=""),"",MAX(0,Setup!$C$11-H69))</f>
        <v/>
      </c>
      <c r="M69" s="54" t="str">
        <f aca="false">IF(OR(D69="",B69=""),"",IF(IFERROR(INDEX(Suppliers!$S$7:$S$106,MATCH(D69,Suppliers!$B$7:$B$106,0)),"")="","–",B69+IFERROR(INDEX(Suppliers!$S$7:$S$106,MATCH(D69,Suppliers!$B$7:$B$106,0)),"")))</f>
        <v/>
      </c>
      <c r="N69" s="56" t="str">
        <f aca="false">IF(D69="","",IF(N(K69)&lt;=0,"Paid",IF(AND(ISNUMBER(M69),Setup!$C$11&gt;M69),"⚠ MSME late",IF(N(L69)&gt;0,"Overdue",IF(N(V69)&lt;=Setup!$C$9,"⚠ MSME due soon",IF(K69&lt;E69,"Part paid","Not due"))))))</f>
        <v/>
      </c>
      <c r="O69" s="50" t="str">
        <f aca="false">IF(AND(D69="",B69="",C69="",E69=""),"",IF(D69="","⚠ Pick supplier",IF(ISNA(MATCH(D69,Suppliers!$B$7:$B$106,0)),"⚠ Supplier not in list",IF(B69="","⚠ Enter bill date",IF(N(E69)&lt;=0,"⚠ Enter amount",IF(AND(C69&lt;&gt;"",COUNTIFS($D$8:$D$507,D69,$C$8:$C$507,C69)&gt;1),"⚠ Bill no. used twice",IF(N(I69)&gt;N(E69),"⚠ Paid more than bill","✔")))))))</f>
        <v/>
      </c>
      <c r="P69" s="9" t="n">
        <f aca="false">IF(D69="",0,MAX(0,N(E69)-N(I69)))</f>
        <v>0</v>
      </c>
      <c r="Q69" s="9" t="n">
        <f aca="false">IF(D69="",0,SUMIFS($P$8:$P$507,$D$8:$D$507,D69,$B$8:$B$507,"&lt;"&amp;B69)+SUMIFS($P$8:P68,$D$8:D68,D69,$B$8:B68,B69))</f>
        <v>0</v>
      </c>
      <c r="R69" s="9" t="n">
        <f aca="false">IF(D69="",0,IFERROR(INDEX(Suppliers!$R$7:$R$106,MATCH(D69,Suppliers!$B$7:$B$106,0)),0))</f>
        <v>0</v>
      </c>
      <c r="S69" s="9" t="str">
        <f aca="false">IF(N(K69)&gt;0,IF(H69="",99999,MIN(H69,IF(ISNUMBER(M69),M69,H69)))+ROW()/100000,"")</f>
        <v/>
      </c>
      <c r="U69" s="9" t="n">
        <f aca="false">IF(N(K69)&gt;0,N(L69),0)</f>
        <v>0</v>
      </c>
      <c r="V69" s="9" t="n">
        <f aca="false">IF(AND(N(K69)&gt;0,ISNUMBER(M69)),M69-Setup!$C$11,99999)</f>
        <v>99999</v>
      </c>
    </row>
    <row r="70" customFormat="false" ht="15" hidden="false" customHeight="false" outlineLevel="0" collapsed="false">
      <c r="A70" s="40" t="str">
        <f aca="false">IF(D70="","",ROW()-7)</f>
        <v/>
      </c>
      <c r="B70" s="79"/>
      <c r="C70" s="75"/>
      <c r="D70" s="76"/>
      <c r="E70" s="80"/>
      <c r="F70" s="79"/>
      <c r="G70" s="76"/>
      <c r="H70" s="54" t="str">
        <f aca="false">IF(OR(D70="",B70=""),"",IF(F70&lt;&gt;"",F70,B70+IFERROR(INDEX(Suppliers!$Q$7:$Q$106,MATCH(D70,Suppliers!$B$7:$B$106,0)),Setup!$C$7)))</f>
        <v/>
      </c>
      <c r="I70" s="46" t="str">
        <f aca="false">IF(OR(D70="",C70=""),IF(D70="","",0),SUMIFS(Payments!$D$8:$D$507,Payments!$C$8:$C$507,D70,Payments!$F$8:$F$507,C70))</f>
        <v/>
      </c>
      <c r="J70" s="46" t="str">
        <f aca="false">IF(D70="","",MIN(P70,MAX(0,R70-Q70)))</f>
        <v/>
      </c>
      <c r="K70" s="47" t="str">
        <f aca="false">IF(D70="","",P70-J70)</f>
        <v/>
      </c>
      <c r="L70" s="55" t="str">
        <f aca="false">IF(OR(D70="",N(K70)&lt;=0,H70=""),"",MAX(0,Setup!$C$11-H70))</f>
        <v/>
      </c>
      <c r="M70" s="54" t="str">
        <f aca="false">IF(OR(D70="",B70=""),"",IF(IFERROR(INDEX(Suppliers!$S$7:$S$106,MATCH(D70,Suppliers!$B$7:$B$106,0)),"")="","–",B70+IFERROR(INDEX(Suppliers!$S$7:$S$106,MATCH(D70,Suppliers!$B$7:$B$106,0)),"")))</f>
        <v/>
      </c>
      <c r="N70" s="56" t="str">
        <f aca="false">IF(D70="","",IF(N(K70)&lt;=0,"Paid",IF(AND(ISNUMBER(M70),Setup!$C$11&gt;M70),"⚠ MSME late",IF(N(L70)&gt;0,"Overdue",IF(N(V70)&lt;=Setup!$C$9,"⚠ MSME due soon",IF(K70&lt;E70,"Part paid","Not due"))))))</f>
        <v/>
      </c>
      <c r="O70" s="50" t="str">
        <f aca="false">IF(AND(D70="",B70="",C70="",E70=""),"",IF(D70="","⚠ Pick supplier",IF(ISNA(MATCH(D70,Suppliers!$B$7:$B$106,0)),"⚠ Supplier not in list",IF(B70="","⚠ Enter bill date",IF(N(E70)&lt;=0,"⚠ Enter amount",IF(AND(C70&lt;&gt;"",COUNTIFS($D$8:$D$507,D70,$C$8:$C$507,C70)&gt;1),"⚠ Bill no. used twice",IF(N(I70)&gt;N(E70),"⚠ Paid more than bill","✔")))))))</f>
        <v/>
      </c>
      <c r="P70" s="9" t="n">
        <f aca="false">IF(D70="",0,MAX(0,N(E70)-N(I70)))</f>
        <v>0</v>
      </c>
      <c r="Q70" s="9" t="n">
        <f aca="false">IF(D70="",0,SUMIFS($P$8:$P$507,$D$8:$D$507,D70,$B$8:$B$507,"&lt;"&amp;B70)+SUMIFS($P$8:P69,$D$8:D69,D70,$B$8:B69,B70))</f>
        <v>0</v>
      </c>
      <c r="R70" s="9" t="n">
        <f aca="false">IF(D70="",0,IFERROR(INDEX(Suppliers!$R$7:$R$106,MATCH(D70,Suppliers!$B$7:$B$106,0)),0))</f>
        <v>0</v>
      </c>
      <c r="S70" s="9" t="str">
        <f aca="false">IF(N(K70)&gt;0,IF(H70="",99999,MIN(H70,IF(ISNUMBER(M70),M70,H70)))+ROW()/100000,"")</f>
        <v/>
      </c>
      <c r="U70" s="9" t="n">
        <f aca="false">IF(N(K70)&gt;0,N(L70),0)</f>
        <v>0</v>
      </c>
      <c r="V70" s="9" t="n">
        <f aca="false">IF(AND(N(K70)&gt;0,ISNUMBER(M70)),M70-Setup!$C$11,99999)</f>
        <v>99999</v>
      </c>
    </row>
    <row r="71" customFormat="false" ht="15" hidden="false" customHeight="false" outlineLevel="0" collapsed="false">
      <c r="A71" s="40" t="str">
        <f aca="false">IF(D71="","",ROW()-7)</f>
        <v/>
      </c>
      <c r="B71" s="79"/>
      <c r="C71" s="75"/>
      <c r="D71" s="76"/>
      <c r="E71" s="80"/>
      <c r="F71" s="79"/>
      <c r="G71" s="76"/>
      <c r="H71" s="54" t="str">
        <f aca="false">IF(OR(D71="",B71=""),"",IF(F71&lt;&gt;"",F71,B71+IFERROR(INDEX(Suppliers!$Q$7:$Q$106,MATCH(D71,Suppliers!$B$7:$B$106,0)),Setup!$C$7)))</f>
        <v/>
      </c>
      <c r="I71" s="46" t="str">
        <f aca="false">IF(OR(D71="",C71=""),IF(D71="","",0),SUMIFS(Payments!$D$8:$D$507,Payments!$C$8:$C$507,D71,Payments!$F$8:$F$507,C71))</f>
        <v/>
      </c>
      <c r="J71" s="46" t="str">
        <f aca="false">IF(D71="","",MIN(P71,MAX(0,R71-Q71)))</f>
        <v/>
      </c>
      <c r="K71" s="47" t="str">
        <f aca="false">IF(D71="","",P71-J71)</f>
        <v/>
      </c>
      <c r="L71" s="55" t="str">
        <f aca="false">IF(OR(D71="",N(K71)&lt;=0,H71=""),"",MAX(0,Setup!$C$11-H71))</f>
        <v/>
      </c>
      <c r="M71" s="54" t="str">
        <f aca="false">IF(OR(D71="",B71=""),"",IF(IFERROR(INDEX(Suppliers!$S$7:$S$106,MATCH(D71,Suppliers!$B$7:$B$106,0)),"")="","–",B71+IFERROR(INDEX(Suppliers!$S$7:$S$106,MATCH(D71,Suppliers!$B$7:$B$106,0)),"")))</f>
        <v/>
      </c>
      <c r="N71" s="56" t="str">
        <f aca="false">IF(D71="","",IF(N(K71)&lt;=0,"Paid",IF(AND(ISNUMBER(M71),Setup!$C$11&gt;M71),"⚠ MSME late",IF(N(L71)&gt;0,"Overdue",IF(N(V71)&lt;=Setup!$C$9,"⚠ MSME due soon",IF(K71&lt;E71,"Part paid","Not due"))))))</f>
        <v/>
      </c>
      <c r="O71" s="50" t="str">
        <f aca="false">IF(AND(D71="",B71="",C71="",E71=""),"",IF(D71="","⚠ Pick supplier",IF(ISNA(MATCH(D71,Suppliers!$B$7:$B$106,0)),"⚠ Supplier not in list",IF(B71="","⚠ Enter bill date",IF(N(E71)&lt;=0,"⚠ Enter amount",IF(AND(C71&lt;&gt;"",COUNTIFS($D$8:$D$507,D71,$C$8:$C$507,C71)&gt;1),"⚠ Bill no. used twice",IF(N(I71)&gt;N(E71),"⚠ Paid more than bill","✔")))))))</f>
        <v/>
      </c>
      <c r="P71" s="9" t="n">
        <f aca="false">IF(D71="",0,MAX(0,N(E71)-N(I71)))</f>
        <v>0</v>
      </c>
      <c r="Q71" s="9" t="n">
        <f aca="false">IF(D71="",0,SUMIFS($P$8:$P$507,$D$8:$D$507,D71,$B$8:$B$507,"&lt;"&amp;B71)+SUMIFS($P$8:P70,$D$8:D70,D71,$B$8:B70,B71))</f>
        <v>0</v>
      </c>
      <c r="R71" s="9" t="n">
        <f aca="false">IF(D71="",0,IFERROR(INDEX(Suppliers!$R$7:$R$106,MATCH(D71,Suppliers!$B$7:$B$106,0)),0))</f>
        <v>0</v>
      </c>
      <c r="S71" s="9" t="str">
        <f aca="false">IF(N(K71)&gt;0,IF(H71="",99999,MIN(H71,IF(ISNUMBER(M71),M71,H71)))+ROW()/100000,"")</f>
        <v/>
      </c>
      <c r="U71" s="9" t="n">
        <f aca="false">IF(N(K71)&gt;0,N(L71),0)</f>
        <v>0</v>
      </c>
      <c r="V71" s="9" t="n">
        <f aca="false">IF(AND(N(K71)&gt;0,ISNUMBER(M71)),M71-Setup!$C$11,99999)</f>
        <v>99999</v>
      </c>
    </row>
    <row r="72" customFormat="false" ht="15" hidden="false" customHeight="false" outlineLevel="0" collapsed="false">
      <c r="A72" s="40" t="str">
        <f aca="false">IF(D72="","",ROW()-7)</f>
        <v/>
      </c>
      <c r="B72" s="79"/>
      <c r="C72" s="75"/>
      <c r="D72" s="76"/>
      <c r="E72" s="80"/>
      <c r="F72" s="79"/>
      <c r="G72" s="76"/>
      <c r="H72" s="54" t="str">
        <f aca="false">IF(OR(D72="",B72=""),"",IF(F72&lt;&gt;"",F72,B72+IFERROR(INDEX(Suppliers!$Q$7:$Q$106,MATCH(D72,Suppliers!$B$7:$B$106,0)),Setup!$C$7)))</f>
        <v/>
      </c>
      <c r="I72" s="46" t="str">
        <f aca="false">IF(OR(D72="",C72=""),IF(D72="","",0),SUMIFS(Payments!$D$8:$D$507,Payments!$C$8:$C$507,D72,Payments!$F$8:$F$507,C72))</f>
        <v/>
      </c>
      <c r="J72" s="46" t="str">
        <f aca="false">IF(D72="","",MIN(P72,MAX(0,R72-Q72)))</f>
        <v/>
      </c>
      <c r="K72" s="47" t="str">
        <f aca="false">IF(D72="","",P72-J72)</f>
        <v/>
      </c>
      <c r="L72" s="55" t="str">
        <f aca="false">IF(OR(D72="",N(K72)&lt;=0,H72=""),"",MAX(0,Setup!$C$11-H72))</f>
        <v/>
      </c>
      <c r="M72" s="54" t="str">
        <f aca="false">IF(OR(D72="",B72=""),"",IF(IFERROR(INDEX(Suppliers!$S$7:$S$106,MATCH(D72,Suppliers!$B$7:$B$106,0)),"")="","–",B72+IFERROR(INDEX(Suppliers!$S$7:$S$106,MATCH(D72,Suppliers!$B$7:$B$106,0)),"")))</f>
        <v/>
      </c>
      <c r="N72" s="56" t="str">
        <f aca="false">IF(D72="","",IF(N(K72)&lt;=0,"Paid",IF(AND(ISNUMBER(M72),Setup!$C$11&gt;M72),"⚠ MSME late",IF(N(L72)&gt;0,"Overdue",IF(N(V72)&lt;=Setup!$C$9,"⚠ MSME due soon",IF(K72&lt;E72,"Part paid","Not due"))))))</f>
        <v/>
      </c>
      <c r="O72" s="50" t="str">
        <f aca="false">IF(AND(D72="",B72="",C72="",E72=""),"",IF(D72="","⚠ Pick supplier",IF(ISNA(MATCH(D72,Suppliers!$B$7:$B$106,0)),"⚠ Supplier not in list",IF(B72="","⚠ Enter bill date",IF(N(E72)&lt;=0,"⚠ Enter amount",IF(AND(C72&lt;&gt;"",COUNTIFS($D$8:$D$507,D72,$C$8:$C$507,C72)&gt;1),"⚠ Bill no. used twice",IF(N(I72)&gt;N(E72),"⚠ Paid more than bill","✔")))))))</f>
        <v/>
      </c>
      <c r="P72" s="9" t="n">
        <f aca="false">IF(D72="",0,MAX(0,N(E72)-N(I72)))</f>
        <v>0</v>
      </c>
      <c r="Q72" s="9" t="n">
        <f aca="false">IF(D72="",0,SUMIFS($P$8:$P$507,$D$8:$D$507,D72,$B$8:$B$507,"&lt;"&amp;B72)+SUMIFS($P$8:P71,$D$8:D71,D72,$B$8:B71,B72))</f>
        <v>0</v>
      </c>
      <c r="R72" s="9" t="n">
        <f aca="false">IF(D72="",0,IFERROR(INDEX(Suppliers!$R$7:$R$106,MATCH(D72,Suppliers!$B$7:$B$106,0)),0))</f>
        <v>0</v>
      </c>
      <c r="S72" s="9" t="str">
        <f aca="false">IF(N(K72)&gt;0,IF(H72="",99999,MIN(H72,IF(ISNUMBER(M72),M72,H72)))+ROW()/100000,"")</f>
        <v/>
      </c>
      <c r="U72" s="9" t="n">
        <f aca="false">IF(N(K72)&gt;0,N(L72),0)</f>
        <v>0</v>
      </c>
      <c r="V72" s="9" t="n">
        <f aca="false">IF(AND(N(K72)&gt;0,ISNUMBER(M72)),M72-Setup!$C$11,99999)</f>
        <v>99999</v>
      </c>
    </row>
    <row r="73" customFormat="false" ht="15" hidden="false" customHeight="false" outlineLevel="0" collapsed="false">
      <c r="A73" s="40" t="str">
        <f aca="false">IF(D73="","",ROW()-7)</f>
        <v/>
      </c>
      <c r="B73" s="79"/>
      <c r="C73" s="75"/>
      <c r="D73" s="76"/>
      <c r="E73" s="80"/>
      <c r="F73" s="79"/>
      <c r="G73" s="76"/>
      <c r="H73" s="54" t="str">
        <f aca="false">IF(OR(D73="",B73=""),"",IF(F73&lt;&gt;"",F73,B73+IFERROR(INDEX(Suppliers!$Q$7:$Q$106,MATCH(D73,Suppliers!$B$7:$B$106,0)),Setup!$C$7)))</f>
        <v/>
      </c>
      <c r="I73" s="46" t="str">
        <f aca="false">IF(OR(D73="",C73=""),IF(D73="","",0),SUMIFS(Payments!$D$8:$D$507,Payments!$C$8:$C$507,D73,Payments!$F$8:$F$507,C73))</f>
        <v/>
      </c>
      <c r="J73" s="46" t="str">
        <f aca="false">IF(D73="","",MIN(P73,MAX(0,R73-Q73)))</f>
        <v/>
      </c>
      <c r="K73" s="47" t="str">
        <f aca="false">IF(D73="","",P73-J73)</f>
        <v/>
      </c>
      <c r="L73" s="55" t="str">
        <f aca="false">IF(OR(D73="",N(K73)&lt;=0,H73=""),"",MAX(0,Setup!$C$11-H73))</f>
        <v/>
      </c>
      <c r="M73" s="54" t="str">
        <f aca="false">IF(OR(D73="",B73=""),"",IF(IFERROR(INDEX(Suppliers!$S$7:$S$106,MATCH(D73,Suppliers!$B$7:$B$106,0)),"")="","–",B73+IFERROR(INDEX(Suppliers!$S$7:$S$106,MATCH(D73,Suppliers!$B$7:$B$106,0)),"")))</f>
        <v/>
      </c>
      <c r="N73" s="56" t="str">
        <f aca="false">IF(D73="","",IF(N(K73)&lt;=0,"Paid",IF(AND(ISNUMBER(M73),Setup!$C$11&gt;M73),"⚠ MSME late",IF(N(L73)&gt;0,"Overdue",IF(N(V73)&lt;=Setup!$C$9,"⚠ MSME due soon",IF(K73&lt;E73,"Part paid","Not due"))))))</f>
        <v/>
      </c>
      <c r="O73" s="50" t="str">
        <f aca="false">IF(AND(D73="",B73="",C73="",E73=""),"",IF(D73="","⚠ Pick supplier",IF(ISNA(MATCH(D73,Suppliers!$B$7:$B$106,0)),"⚠ Supplier not in list",IF(B73="","⚠ Enter bill date",IF(N(E73)&lt;=0,"⚠ Enter amount",IF(AND(C73&lt;&gt;"",COUNTIFS($D$8:$D$507,D73,$C$8:$C$507,C73)&gt;1),"⚠ Bill no. used twice",IF(N(I73)&gt;N(E73),"⚠ Paid more than bill","✔")))))))</f>
        <v/>
      </c>
      <c r="P73" s="9" t="n">
        <f aca="false">IF(D73="",0,MAX(0,N(E73)-N(I73)))</f>
        <v>0</v>
      </c>
      <c r="Q73" s="9" t="n">
        <f aca="false">IF(D73="",0,SUMIFS($P$8:$P$507,$D$8:$D$507,D73,$B$8:$B$507,"&lt;"&amp;B73)+SUMIFS($P$8:P72,$D$8:D72,D73,$B$8:B72,B73))</f>
        <v>0</v>
      </c>
      <c r="R73" s="9" t="n">
        <f aca="false">IF(D73="",0,IFERROR(INDEX(Suppliers!$R$7:$R$106,MATCH(D73,Suppliers!$B$7:$B$106,0)),0))</f>
        <v>0</v>
      </c>
      <c r="S73" s="9" t="str">
        <f aca="false">IF(N(K73)&gt;0,IF(H73="",99999,MIN(H73,IF(ISNUMBER(M73),M73,H73)))+ROW()/100000,"")</f>
        <v/>
      </c>
      <c r="U73" s="9" t="n">
        <f aca="false">IF(N(K73)&gt;0,N(L73),0)</f>
        <v>0</v>
      </c>
      <c r="V73" s="9" t="n">
        <f aca="false">IF(AND(N(K73)&gt;0,ISNUMBER(M73)),M73-Setup!$C$11,99999)</f>
        <v>99999</v>
      </c>
    </row>
    <row r="74" customFormat="false" ht="15" hidden="false" customHeight="false" outlineLevel="0" collapsed="false">
      <c r="A74" s="40" t="str">
        <f aca="false">IF(D74="","",ROW()-7)</f>
        <v/>
      </c>
      <c r="B74" s="79"/>
      <c r="C74" s="75"/>
      <c r="D74" s="76"/>
      <c r="E74" s="80"/>
      <c r="F74" s="79"/>
      <c r="G74" s="76"/>
      <c r="H74" s="54" t="str">
        <f aca="false">IF(OR(D74="",B74=""),"",IF(F74&lt;&gt;"",F74,B74+IFERROR(INDEX(Suppliers!$Q$7:$Q$106,MATCH(D74,Suppliers!$B$7:$B$106,0)),Setup!$C$7)))</f>
        <v/>
      </c>
      <c r="I74" s="46" t="str">
        <f aca="false">IF(OR(D74="",C74=""),IF(D74="","",0),SUMIFS(Payments!$D$8:$D$507,Payments!$C$8:$C$507,D74,Payments!$F$8:$F$507,C74))</f>
        <v/>
      </c>
      <c r="J74" s="46" t="str">
        <f aca="false">IF(D74="","",MIN(P74,MAX(0,R74-Q74)))</f>
        <v/>
      </c>
      <c r="K74" s="47" t="str">
        <f aca="false">IF(D74="","",P74-J74)</f>
        <v/>
      </c>
      <c r="L74" s="55" t="str">
        <f aca="false">IF(OR(D74="",N(K74)&lt;=0,H74=""),"",MAX(0,Setup!$C$11-H74))</f>
        <v/>
      </c>
      <c r="M74" s="54" t="str">
        <f aca="false">IF(OR(D74="",B74=""),"",IF(IFERROR(INDEX(Suppliers!$S$7:$S$106,MATCH(D74,Suppliers!$B$7:$B$106,0)),"")="","–",B74+IFERROR(INDEX(Suppliers!$S$7:$S$106,MATCH(D74,Suppliers!$B$7:$B$106,0)),"")))</f>
        <v/>
      </c>
      <c r="N74" s="56" t="str">
        <f aca="false">IF(D74="","",IF(N(K74)&lt;=0,"Paid",IF(AND(ISNUMBER(M74),Setup!$C$11&gt;M74),"⚠ MSME late",IF(N(L74)&gt;0,"Overdue",IF(N(V74)&lt;=Setup!$C$9,"⚠ MSME due soon",IF(K74&lt;E74,"Part paid","Not due"))))))</f>
        <v/>
      </c>
      <c r="O74" s="50" t="str">
        <f aca="false">IF(AND(D74="",B74="",C74="",E74=""),"",IF(D74="","⚠ Pick supplier",IF(ISNA(MATCH(D74,Suppliers!$B$7:$B$106,0)),"⚠ Supplier not in list",IF(B74="","⚠ Enter bill date",IF(N(E74)&lt;=0,"⚠ Enter amount",IF(AND(C74&lt;&gt;"",COUNTIFS($D$8:$D$507,D74,$C$8:$C$507,C74)&gt;1),"⚠ Bill no. used twice",IF(N(I74)&gt;N(E74),"⚠ Paid more than bill","✔")))))))</f>
        <v/>
      </c>
      <c r="P74" s="9" t="n">
        <f aca="false">IF(D74="",0,MAX(0,N(E74)-N(I74)))</f>
        <v>0</v>
      </c>
      <c r="Q74" s="9" t="n">
        <f aca="false">IF(D74="",0,SUMIFS($P$8:$P$507,$D$8:$D$507,D74,$B$8:$B$507,"&lt;"&amp;B74)+SUMIFS($P$8:P73,$D$8:D73,D74,$B$8:B73,B74))</f>
        <v>0</v>
      </c>
      <c r="R74" s="9" t="n">
        <f aca="false">IF(D74="",0,IFERROR(INDEX(Suppliers!$R$7:$R$106,MATCH(D74,Suppliers!$B$7:$B$106,0)),0))</f>
        <v>0</v>
      </c>
      <c r="S74" s="9" t="str">
        <f aca="false">IF(N(K74)&gt;0,IF(H74="",99999,MIN(H74,IF(ISNUMBER(M74),M74,H74)))+ROW()/100000,"")</f>
        <v/>
      </c>
      <c r="U74" s="9" t="n">
        <f aca="false">IF(N(K74)&gt;0,N(L74),0)</f>
        <v>0</v>
      </c>
      <c r="V74" s="9" t="n">
        <f aca="false">IF(AND(N(K74)&gt;0,ISNUMBER(M74)),M74-Setup!$C$11,99999)</f>
        <v>99999</v>
      </c>
    </row>
    <row r="75" customFormat="false" ht="15" hidden="false" customHeight="false" outlineLevel="0" collapsed="false">
      <c r="A75" s="40" t="str">
        <f aca="false">IF(D75="","",ROW()-7)</f>
        <v/>
      </c>
      <c r="B75" s="79"/>
      <c r="C75" s="75"/>
      <c r="D75" s="76"/>
      <c r="E75" s="80"/>
      <c r="F75" s="79"/>
      <c r="G75" s="76"/>
      <c r="H75" s="54" t="str">
        <f aca="false">IF(OR(D75="",B75=""),"",IF(F75&lt;&gt;"",F75,B75+IFERROR(INDEX(Suppliers!$Q$7:$Q$106,MATCH(D75,Suppliers!$B$7:$B$106,0)),Setup!$C$7)))</f>
        <v/>
      </c>
      <c r="I75" s="46" t="str">
        <f aca="false">IF(OR(D75="",C75=""),IF(D75="","",0),SUMIFS(Payments!$D$8:$D$507,Payments!$C$8:$C$507,D75,Payments!$F$8:$F$507,C75))</f>
        <v/>
      </c>
      <c r="J75" s="46" t="str">
        <f aca="false">IF(D75="","",MIN(P75,MAX(0,R75-Q75)))</f>
        <v/>
      </c>
      <c r="K75" s="47" t="str">
        <f aca="false">IF(D75="","",P75-J75)</f>
        <v/>
      </c>
      <c r="L75" s="55" t="str">
        <f aca="false">IF(OR(D75="",N(K75)&lt;=0,H75=""),"",MAX(0,Setup!$C$11-H75))</f>
        <v/>
      </c>
      <c r="M75" s="54" t="str">
        <f aca="false">IF(OR(D75="",B75=""),"",IF(IFERROR(INDEX(Suppliers!$S$7:$S$106,MATCH(D75,Suppliers!$B$7:$B$106,0)),"")="","–",B75+IFERROR(INDEX(Suppliers!$S$7:$S$106,MATCH(D75,Suppliers!$B$7:$B$106,0)),"")))</f>
        <v/>
      </c>
      <c r="N75" s="56" t="str">
        <f aca="false">IF(D75="","",IF(N(K75)&lt;=0,"Paid",IF(AND(ISNUMBER(M75),Setup!$C$11&gt;M75),"⚠ MSME late",IF(N(L75)&gt;0,"Overdue",IF(N(V75)&lt;=Setup!$C$9,"⚠ MSME due soon",IF(K75&lt;E75,"Part paid","Not due"))))))</f>
        <v/>
      </c>
      <c r="O75" s="50" t="str">
        <f aca="false">IF(AND(D75="",B75="",C75="",E75=""),"",IF(D75="","⚠ Pick supplier",IF(ISNA(MATCH(D75,Suppliers!$B$7:$B$106,0)),"⚠ Supplier not in list",IF(B75="","⚠ Enter bill date",IF(N(E75)&lt;=0,"⚠ Enter amount",IF(AND(C75&lt;&gt;"",COUNTIFS($D$8:$D$507,D75,$C$8:$C$507,C75)&gt;1),"⚠ Bill no. used twice",IF(N(I75)&gt;N(E75),"⚠ Paid more than bill","✔")))))))</f>
        <v/>
      </c>
      <c r="P75" s="9" t="n">
        <f aca="false">IF(D75="",0,MAX(0,N(E75)-N(I75)))</f>
        <v>0</v>
      </c>
      <c r="Q75" s="9" t="n">
        <f aca="false">IF(D75="",0,SUMIFS($P$8:$P$507,$D$8:$D$507,D75,$B$8:$B$507,"&lt;"&amp;B75)+SUMIFS($P$8:P74,$D$8:D74,D75,$B$8:B74,B75))</f>
        <v>0</v>
      </c>
      <c r="R75" s="9" t="n">
        <f aca="false">IF(D75="",0,IFERROR(INDEX(Suppliers!$R$7:$R$106,MATCH(D75,Suppliers!$B$7:$B$106,0)),0))</f>
        <v>0</v>
      </c>
      <c r="S75" s="9" t="str">
        <f aca="false">IF(N(K75)&gt;0,IF(H75="",99999,MIN(H75,IF(ISNUMBER(M75),M75,H75)))+ROW()/100000,"")</f>
        <v/>
      </c>
      <c r="U75" s="9" t="n">
        <f aca="false">IF(N(K75)&gt;0,N(L75),0)</f>
        <v>0</v>
      </c>
      <c r="V75" s="9" t="n">
        <f aca="false">IF(AND(N(K75)&gt;0,ISNUMBER(M75)),M75-Setup!$C$11,99999)</f>
        <v>99999</v>
      </c>
    </row>
    <row r="76" customFormat="false" ht="15" hidden="false" customHeight="false" outlineLevel="0" collapsed="false">
      <c r="A76" s="40" t="str">
        <f aca="false">IF(D76="","",ROW()-7)</f>
        <v/>
      </c>
      <c r="B76" s="79"/>
      <c r="C76" s="75"/>
      <c r="D76" s="76"/>
      <c r="E76" s="80"/>
      <c r="F76" s="79"/>
      <c r="G76" s="76"/>
      <c r="H76" s="54" t="str">
        <f aca="false">IF(OR(D76="",B76=""),"",IF(F76&lt;&gt;"",F76,B76+IFERROR(INDEX(Suppliers!$Q$7:$Q$106,MATCH(D76,Suppliers!$B$7:$B$106,0)),Setup!$C$7)))</f>
        <v/>
      </c>
      <c r="I76" s="46" t="str">
        <f aca="false">IF(OR(D76="",C76=""),IF(D76="","",0),SUMIFS(Payments!$D$8:$D$507,Payments!$C$8:$C$507,D76,Payments!$F$8:$F$507,C76))</f>
        <v/>
      </c>
      <c r="J76" s="46" t="str">
        <f aca="false">IF(D76="","",MIN(P76,MAX(0,R76-Q76)))</f>
        <v/>
      </c>
      <c r="K76" s="47" t="str">
        <f aca="false">IF(D76="","",P76-J76)</f>
        <v/>
      </c>
      <c r="L76" s="55" t="str">
        <f aca="false">IF(OR(D76="",N(K76)&lt;=0,H76=""),"",MAX(0,Setup!$C$11-H76))</f>
        <v/>
      </c>
      <c r="M76" s="54" t="str">
        <f aca="false">IF(OR(D76="",B76=""),"",IF(IFERROR(INDEX(Suppliers!$S$7:$S$106,MATCH(D76,Suppliers!$B$7:$B$106,0)),"")="","–",B76+IFERROR(INDEX(Suppliers!$S$7:$S$106,MATCH(D76,Suppliers!$B$7:$B$106,0)),"")))</f>
        <v/>
      </c>
      <c r="N76" s="56" t="str">
        <f aca="false">IF(D76="","",IF(N(K76)&lt;=0,"Paid",IF(AND(ISNUMBER(M76),Setup!$C$11&gt;M76),"⚠ MSME late",IF(N(L76)&gt;0,"Overdue",IF(N(V76)&lt;=Setup!$C$9,"⚠ MSME due soon",IF(K76&lt;E76,"Part paid","Not due"))))))</f>
        <v/>
      </c>
      <c r="O76" s="50" t="str">
        <f aca="false">IF(AND(D76="",B76="",C76="",E76=""),"",IF(D76="","⚠ Pick supplier",IF(ISNA(MATCH(D76,Suppliers!$B$7:$B$106,0)),"⚠ Supplier not in list",IF(B76="","⚠ Enter bill date",IF(N(E76)&lt;=0,"⚠ Enter amount",IF(AND(C76&lt;&gt;"",COUNTIFS($D$8:$D$507,D76,$C$8:$C$507,C76)&gt;1),"⚠ Bill no. used twice",IF(N(I76)&gt;N(E76),"⚠ Paid more than bill","✔")))))))</f>
        <v/>
      </c>
      <c r="P76" s="9" t="n">
        <f aca="false">IF(D76="",0,MAX(0,N(E76)-N(I76)))</f>
        <v>0</v>
      </c>
      <c r="Q76" s="9" t="n">
        <f aca="false">IF(D76="",0,SUMIFS($P$8:$P$507,$D$8:$D$507,D76,$B$8:$B$507,"&lt;"&amp;B76)+SUMIFS($P$8:P75,$D$8:D75,D76,$B$8:B75,B76))</f>
        <v>0</v>
      </c>
      <c r="R76" s="9" t="n">
        <f aca="false">IF(D76="",0,IFERROR(INDEX(Suppliers!$R$7:$R$106,MATCH(D76,Suppliers!$B$7:$B$106,0)),0))</f>
        <v>0</v>
      </c>
      <c r="S76" s="9" t="str">
        <f aca="false">IF(N(K76)&gt;0,IF(H76="",99999,MIN(H76,IF(ISNUMBER(M76),M76,H76)))+ROW()/100000,"")</f>
        <v/>
      </c>
      <c r="U76" s="9" t="n">
        <f aca="false">IF(N(K76)&gt;0,N(L76),0)</f>
        <v>0</v>
      </c>
      <c r="V76" s="9" t="n">
        <f aca="false">IF(AND(N(K76)&gt;0,ISNUMBER(M76)),M76-Setup!$C$11,99999)</f>
        <v>99999</v>
      </c>
    </row>
    <row r="77" customFormat="false" ht="15" hidden="false" customHeight="false" outlineLevel="0" collapsed="false">
      <c r="A77" s="40" t="str">
        <f aca="false">IF(D77="","",ROW()-7)</f>
        <v/>
      </c>
      <c r="B77" s="79"/>
      <c r="C77" s="75"/>
      <c r="D77" s="76"/>
      <c r="E77" s="80"/>
      <c r="F77" s="79"/>
      <c r="G77" s="76"/>
      <c r="H77" s="54" t="str">
        <f aca="false">IF(OR(D77="",B77=""),"",IF(F77&lt;&gt;"",F77,B77+IFERROR(INDEX(Suppliers!$Q$7:$Q$106,MATCH(D77,Suppliers!$B$7:$B$106,0)),Setup!$C$7)))</f>
        <v/>
      </c>
      <c r="I77" s="46" t="str">
        <f aca="false">IF(OR(D77="",C77=""),IF(D77="","",0),SUMIFS(Payments!$D$8:$D$507,Payments!$C$8:$C$507,D77,Payments!$F$8:$F$507,C77))</f>
        <v/>
      </c>
      <c r="J77" s="46" t="str">
        <f aca="false">IF(D77="","",MIN(P77,MAX(0,R77-Q77)))</f>
        <v/>
      </c>
      <c r="K77" s="47" t="str">
        <f aca="false">IF(D77="","",P77-J77)</f>
        <v/>
      </c>
      <c r="L77" s="55" t="str">
        <f aca="false">IF(OR(D77="",N(K77)&lt;=0,H77=""),"",MAX(0,Setup!$C$11-H77))</f>
        <v/>
      </c>
      <c r="M77" s="54" t="str">
        <f aca="false">IF(OR(D77="",B77=""),"",IF(IFERROR(INDEX(Suppliers!$S$7:$S$106,MATCH(D77,Suppliers!$B$7:$B$106,0)),"")="","–",B77+IFERROR(INDEX(Suppliers!$S$7:$S$106,MATCH(D77,Suppliers!$B$7:$B$106,0)),"")))</f>
        <v/>
      </c>
      <c r="N77" s="56" t="str">
        <f aca="false">IF(D77="","",IF(N(K77)&lt;=0,"Paid",IF(AND(ISNUMBER(M77),Setup!$C$11&gt;M77),"⚠ MSME late",IF(N(L77)&gt;0,"Overdue",IF(N(V77)&lt;=Setup!$C$9,"⚠ MSME due soon",IF(K77&lt;E77,"Part paid","Not due"))))))</f>
        <v/>
      </c>
      <c r="O77" s="50" t="str">
        <f aca="false">IF(AND(D77="",B77="",C77="",E77=""),"",IF(D77="","⚠ Pick supplier",IF(ISNA(MATCH(D77,Suppliers!$B$7:$B$106,0)),"⚠ Supplier not in list",IF(B77="","⚠ Enter bill date",IF(N(E77)&lt;=0,"⚠ Enter amount",IF(AND(C77&lt;&gt;"",COUNTIFS($D$8:$D$507,D77,$C$8:$C$507,C77)&gt;1),"⚠ Bill no. used twice",IF(N(I77)&gt;N(E77),"⚠ Paid more than bill","✔")))))))</f>
        <v/>
      </c>
      <c r="P77" s="9" t="n">
        <f aca="false">IF(D77="",0,MAX(0,N(E77)-N(I77)))</f>
        <v>0</v>
      </c>
      <c r="Q77" s="9" t="n">
        <f aca="false">IF(D77="",0,SUMIFS($P$8:$P$507,$D$8:$D$507,D77,$B$8:$B$507,"&lt;"&amp;B77)+SUMIFS($P$8:P76,$D$8:D76,D77,$B$8:B76,B77))</f>
        <v>0</v>
      </c>
      <c r="R77" s="9" t="n">
        <f aca="false">IF(D77="",0,IFERROR(INDEX(Suppliers!$R$7:$R$106,MATCH(D77,Suppliers!$B$7:$B$106,0)),0))</f>
        <v>0</v>
      </c>
      <c r="S77" s="9" t="str">
        <f aca="false">IF(N(K77)&gt;0,IF(H77="",99999,MIN(H77,IF(ISNUMBER(M77),M77,H77)))+ROW()/100000,"")</f>
        <v/>
      </c>
      <c r="U77" s="9" t="n">
        <f aca="false">IF(N(K77)&gt;0,N(L77),0)</f>
        <v>0</v>
      </c>
      <c r="V77" s="9" t="n">
        <f aca="false">IF(AND(N(K77)&gt;0,ISNUMBER(M77)),M77-Setup!$C$11,99999)</f>
        <v>99999</v>
      </c>
    </row>
    <row r="78" customFormat="false" ht="15" hidden="false" customHeight="false" outlineLevel="0" collapsed="false">
      <c r="A78" s="40" t="str">
        <f aca="false">IF(D78="","",ROW()-7)</f>
        <v/>
      </c>
      <c r="B78" s="79"/>
      <c r="C78" s="75"/>
      <c r="D78" s="76"/>
      <c r="E78" s="80"/>
      <c r="F78" s="79"/>
      <c r="G78" s="76"/>
      <c r="H78" s="54" t="str">
        <f aca="false">IF(OR(D78="",B78=""),"",IF(F78&lt;&gt;"",F78,B78+IFERROR(INDEX(Suppliers!$Q$7:$Q$106,MATCH(D78,Suppliers!$B$7:$B$106,0)),Setup!$C$7)))</f>
        <v/>
      </c>
      <c r="I78" s="46" t="str">
        <f aca="false">IF(OR(D78="",C78=""),IF(D78="","",0),SUMIFS(Payments!$D$8:$D$507,Payments!$C$8:$C$507,D78,Payments!$F$8:$F$507,C78))</f>
        <v/>
      </c>
      <c r="J78" s="46" t="str">
        <f aca="false">IF(D78="","",MIN(P78,MAX(0,R78-Q78)))</f>
        <v/>
      </c>
      <c r="K78" s="47" t="str">
        <f aca="false">IF(D78="","",P78-J78)</f>
        <v/>
      </c>
      <c r="L78" s="55" t="str">
        <f aca="false">IF(OR(D78="",N(K78)&lt;=0,H78=""),"",MAX(0,Setup!$C$11-H78))</f>
        <v/>
      </c>
      <c r="M78" s="54" t="str">
        <f aca="false">IF(OR(D78="",B78=""),"",IF(IFERROR(INDEX(Suppliers!$S$7:$S$106,MATCH(D78,Suppliers!$B$7:$B$106,0)),"")="","–",B78+IFERROR(INDEX(Suppliers!$S$7:$S$106,MATCH(D78,Suppliers!$B$7:$B$106,0)),"")))</f>
        <v/>
      </c>
      <c r="N78" s="56" t="str">
        <f aca="false">IF(D78="","",IF(N(K78)&lt;=0,"Paid",IF(AND(ISNUMBER(M78),Setup!$C$11&gt;M78),"⚠ MSME late",IF(N(L78)&gt;0,"Overdue",IF(N(V78)&lt;=Setup!$C$9,"⚠ MSME due soon",IF(K78&lt;E78,"Part paid","Not due"))))))</f>
        <v/>
      </c>
      <c r="O78" s="50" t="str">
        <f aca="false">IF(AND(D78="",B78="",C78="",E78=""),"",IF(D78="","⚠ Pick supplier",IF(ISNA(MATCH(D78,Suppliers!$B$7:$B$106,0)),"⚠ Supplier not in list",IF(B78="","⚠ Enter bill date",IF(N(E78)&lt;=0,"⚠ Enter amount",IF(AND(C78&lt;&gt;"",COUNTIFS($D$8:$D$507,D78,$C$8:$C$507,C78)&gt;1),"⚠ Bill no. used twice",IF(N(I78)&gt;N(E78),"⚠ Paid more than bill","✔")))))))</f>
        <v/>
      </c>
      <c r="P78" s="9" t="n">
        <f aca="false">IF(D78="",0,MAX(0,N(E78)-N(I78)))</f>
        <v>0</v>
      </c>
      <c r="Q78" s="9" t="n">
        <f aca="false">IF(D78="",0,SUMIFS($P$8:$P$507,$D$8:$D$507,D78,$B$8:$B$507,"&lt;"&amp;B78)+SUMIFS($P$8:P77,$D$8:D77,D78,$B$8:B77,B78))</f>
        <v>0</v>
      </c>
      <c r="R78" s="9" t="n">
        <f aca="false">IF(D78="",0,IFERROR(INDEX(Suppliers!$R$7:$R$106,MATCH(D78,Suppliers!$B$7:$B$106,0)),0))</f>
        <v>0</v>
      </c>
      <c r="S78" s="9" t="str">
        <f aca="false">IF(N(K78)&gt;0,IF(H78="",99999,MIN(H78,IF(ISNUMBER(M78),M78,H78)))+ROW()/100000,"")</f>
        <v/>
      </c>
      <c r="U78" s="9" t="n">
        <f aca="false">IF(N(K78)&gt;0,N(L78),0)</f>
        <v>0</v>
      </c>
      <c r="V78" s="9" t="n">
        <f aca="false">IF(AND(N(K78)&gt;0,ISNUMBER(M78)),M78-Setup!$C$11,99999)</f>
        <v>99999</v>
      </c>
    </row>
    <row r="79" customFormat="false" ht="15" hidden="false" customHeight="false" outlineLevel="0" collapsed="false">
      <c r="A79" s="40" t="str">
        <f aca="false">IF(D79="","",ROW()-7)</f>
        <v/>
      </c>
      <c r="B79" s="79"/>
      <c r="C79" s="75"/>
      <c r="D79" s="76"/>
      <c r="E79" s="80"/>
      <c r="F79" s="79"/>
      <c r="G79" s="76"/>
      <c r="H79" s="54" t="str">
        <f aca="false">IF(OR(D79="",B79=""),"",IF(F79&lt;&gt;"",F79,B79+IFERROR(INDEX(Suppliers!$Q$7:$Q$106,MATCH(D79,Suppliers!$B$7:$B$106,0)),Setup!$C$7)))</f>
        <v/>
      </c>
      <c r="I79" s="46" t="str">
        <f aca="false">IF(OR(D79="",C79=""),IF(D79="","",0),SUMIFS(Payments!$D$8:$D$507,Payments!$C$8:$C$507,D79,Payments!$F$8:$F$507,C79))</f>
        <v/>
      </c>
      <c r="J79" s="46" t="str">
        <f aca="false">IF(D79="","",MIN(P79,MAX(0,R79-Q79)))</f>
        <v/>
      </c>
      <c r="K79" s="47" t="str">
        <f aca="false">IF(D79="","",P79-J79)</f>
        <v/>
      </c>
      <c r="L79" s="55" t="str">
        <f aca="false">IF(OR(D79="",N(K79)&lt;=0,H79=""),"",MAX(0,Setup!$C$11-H79))</f>
        <v/>
      </c>
      <c r="M79" s="54" t="str">
        <f aca="false">IF(OR(D79="",B79=""),"",IF(IFERROR(INDEX(Suppliers!$S$7:$S$106,MATCH(D79,Suppliers!$B$7:$B$106,0)),"")="","–",B79+IFERROR(INDEX(Suppliers!$S$7:$S$106,MATCH(D79,Suppliers!$B$7:$B$106,0)),"")))</f>
        <v/>
      </c>
      <c r="N79" s="56" t="str">
        <f aca="false">IF(D79="","",IF(N(K79)&lt;=0,"Paid",IF(AND(ISNUMBER(M79),Setup!$C$11&gt;M79),"⚠ MSME late",IF(N(L79)&gt;0,"Overdue",IF(N(V79)&lt;=Setup!$C$9,"⚠ MSME due soon",IF(K79&lt;E79,"Part paid","Not due"))))))</f>
        <v/>
      </c>
      <c r="O79" s="50" t="str">
        <f aca="false">IF(AND(D79="",B79="",C79="",E79=""),"",IF(D79="","⚠ Pick supplier",IF(ISNA(MATCH(D79,Suppliers!$B$7:$B$106,0)),"⚠ Supplier not in list",IF(B79="","⚠ Enter bill date",IF(N(E79)&lt;=0,"⚠ Enter amount",IF(AND(C79&lt;&gt;"",COUNTIFS($D$8:$D$507,D79,$C$8:$C$507,C79)&gt;1),"⚠ Bill no. used twice",IF(N(I79)&gt;N(E79),"⚠ Paid more than bill","✔")))))))</f>
        <v/>
      </c>
      <c r="P79" s="9" t="n">
        <f aca="false">IF(D79="",0,MAX(0,N(E79)-N(I79)))</f>
        <v>0</v>
      </c>
      <c r="Q79" s="9" t="n">
        <f aca="false">IF(D79="",0,SUMIFS($P$8:$P$507,$D$8:$D$507,D79,$B$8:$B$507,"&lt;"&amp;B79)+SUMIFS($P$8:P78,$D$8:D78,D79,$B$8:B78,B79))</f>
        <v>0</v>
      </c>
      <c r="R79" s="9" t="n">
        <f aca="false">IF(D79="",0,IFERROR(INDEX(Suppliers!$R$7:$R$106,MATCH(D79,Suppliers!$B$7:$B$106,0)),0))</f>
        <v>0</v>
      </c>
      <c r="S79" s="9" t="str">
        <f aca="false">IF(N(K79)&gt;0,IF(H79="",99999,MIN(H79,IF(ISNUMBER(M79),M79,H79)))+ROW()/100000,"")</f>
        <v/>
      </c>
      <c r="U79" s="9" t="n">
        <f aca="false">IF(N(K79)&gt;0,N(L79),0)</f>
        <v>0</v>
      </c>
      <c r="V79" s="9" t="n">
        <f aca="false">IF(AND(N(K79)&gt;0,ISNUMBER(M79)),M79-Setup!$C$11,99999)</f>
        <v>99999</v>
      </c>
    </row>
    <row r="80" customFormat="false" ht="15" hidden="false" customHeight="false" outlineLevel="0" collapsed="false">
      <c r="A80" s="40" t="str">
        <f aca="false">IF(D80="","",ROW()-7)</f>
        <v/>
      </c>
      <c r="B80" s="79"/>
      <c r="C80" s="75"/>
      <c r="D80" s="76"/>
      <c r="E80" s="80"/>
      <c r="F80" s="79"/>
      <c r="G80" s="76"/>
      <c r="H80" s="54" t="str">
        <f aca="false">IF(OR(D80="",B80=""),"",IF(F80&lt;&gt;"",F80,B80+IFERROR(INDEX(Suppliers!$Q$7:$Q$106,MATCH(D80,Suppliers!$B$7:$B$106,0)),Setup!$C$7)))</f>
        <v/>
      </c>
      <c r="I80" s="46" t="str">
        <f aca="false">IF(OR(D80="",C80=""),IF(D80="","",0),SUMIFS(Payments!$D$8:$D$507,Payments!$C$8:$C$507,D80,Payments!$F$8:$F$507,C80))</f>
        <v/>
      </c>
      <c r="J80" s="46" t="str">
        <f aca="false">IF(D80="","",MIN(P80,MAX(0,R80-Q80)))</f>
        <v/>
      </c>
      <c r="K80" s="47" t="str">
        <f aca="false">IF(D80="","",P80-J80)</f>
        <v/>
      </c>
      <c r="L80" s="55" t="str">
        <f aca="false">IF(OR(D80="",N(K80)&lt;=0,H80=""),"",MAX(0,Setup!$C$11-H80))</f>
        <v/>
      </c>
      <c r="M80" s="54" t="str">
        <f aca="false">IF(OR(D80="",B80=""),"",IF(IFERROR(INDEX(Suppliers!$S$7:$S$106,MATCH(D80,Suppliers!$B$7:$B$106,0)),"")="","–",B80+IFERROR(INDEX(Suppliers!$S$7:$S$106,MATCH(D80,Suppliers!$B$7:$B$106,0)),"")))</f>
        <v/>
      </c>
      <c r="N80" s="56" t="str">
        <f aca="false">IF(D80="","",IF(N(K80)&lt;=0,"Paid",IF(AND(ISNUMBER(M80),Setup!$C$11&gt;M80),"⚠ MSME late",IF(N(L80)&gt;0,"Overdue",IF(N(V80)&lt;=Setup!$C$9,"⚠ MSME due soon",IF(K80&lt;E80,"Part paid","Not due"))))))</f>
        <v/>
      </c>
      <c r="O80" s="50" t="str">
        <f aca="false">IF(AND(D80="",B80="",C80="",E80=""),"",IF(D80="","⚠ Pick supplier",IF(ISNA(MATCH(D80,Suppliers!$B$7:$B$106,0)),"⚠ Supplier not in list",IF(B80="","⚠ Enter bill date",IF(N(E80)&lt;=0,"⚠ Enter amount",IF(AND(C80&lt;&gt;"",COUNTIFS($D$8:$D$507,D80,$C$8:$C$507,C80)&gt;1),"⚠ Bill no. used twice",IF(N(I80)&gt;N(E80),"⚠ Paid more than bill","✔")))))))</f>
        <v/>
      </c>
      <c r="P80" s="9" t="n">
        <f aca="false">IF(D80="",0,MAX(0,N(E80)-N(I80)))</f>
        <v>0</v>
      </c>
      <c r="Q80" s="9" t="n">
        <f aca="false">IF(D80="",0,SUMIFS($P$8:$P$507,$D$8:$D$507,D80,$B$8:$B$507,"&lt;"&amp;B80)+SUMIFS($P$8:P79,$D$8:D79,D80,$B$8:B79,B80))</f>
        <v>0</v>
      </c>
      <c r="R80" s="9" t="n">
        <f aca="false">IF(D80="",0,IFERROR(INDEX(Suppliers!$R$7:$R$106,MATCH(D80,Suppliers!$B$7:$B$106,0)),0))</f>
        <v>0</v>
      </c>
      <c r="S80" s="9" t="str">
        <f aca="false">IF(N(K80)&gt;0,IF(H80="",99999,MIN(H80,IF(ISNUMBER(M80),M80,H80)))+ROW()/100000,"")</f>
        <v/>
      </c>
      <c r="U80" s="9" t="n">
        <f aca="false">IF(N(K80)&gt;0,N(L80),0)</f>
        <v>0</v>
      </c>
      <c r="V80" s="9" t="n">
        <f aca="false">IF(AND(N(K80)&gt;0,ISNUMBER(M80)),M80-Setup!$C$11,99999)</f>
        <v>99999</v>
      </c>
    </row>
    <row r="81" customFormat="false" ht="15" hidden="false" customHeight="false" outlineLevel="0" collapsed="false">
      <c r="A81" s="40" t="str">
        <f aca="false">IF(D81="","",ROW()-7)</f>
        <v/>
      </c>
      <c r="B81" s="79"/>
      <c r="C81" s="75"/>
      <c r="D81" s="76"/>
      <c r="E81" s="80"/>
      <c r="F81" s="79"/>
      <c r="G81" s="76"/>
      <c r="H81" s="54" t="str">
        <f aca="false">IF(OR(D81="",B81=""),"",IF(F81&lt;&gt;"",F81,B81+IFERROR(INDEX(Suppliers!$Q$7:$Q$106,MATCH(D81,Suppliers!$B$7:$B$106,0)),Setup!$C$7)))</f>
        <v/>
      </c>
      <c r="I81" s="46" t="str">
        <f aca="false">IF(OR(D81="",C81=""),IF(D81="","",0),SUMIFS(Payments!$D$8:$D$507,Payments!$C$8:$C$507,D81,Payments!$F$8:$F$507,C81))</f>
        <v/>
      </c>
      <c r="J81" s="46" t="str">
        <f aca="false">IF(D81="","",MIN(P81,MAX(0,R81-Q81)))</f>
        <v/>
      </c>
      <c r="K81" s="47" t="str">
        <f aca="false">IF(D81="","",P81-J81)</f>
        <v/>
      </c>
      <c r="L81" s="55" t="str">
        <f aca="false">IF(OR(D81="",N(K81)&lt;=0,H81=""),"",MAX(0,Setup!$C$11-H81))</f>
        <v/>
      </c>
      <c r="M81" s="54" t="str">
        <f aca="false">IF(OR(D81="",B81=""),"",IF(IFERROR(INDEX(Suppliers!$S$7:$S$106,MATCH(D81,Suppliers!$B$7:$B$106,0)),"")="","–",B81+IFERROR(INDEX(Suppliers!$S$7:$S$106,MATCH(D81,Suppliers!$B$7:$B$106,0)),"")))</f>
        <v/>
      </c>
      <c r="N81" s="56" t="str">
        <f aca="false">IF(D81="","",IF(N(K81)&lt;=0,"Paid",IF(AND(ISNUMBER(M81),Setup!$C$11&gt;M81),"⚠ MSME late",IF(N(L81)&gt;0,"Overdue",IF(N(V81)&lt;=Setup!$C$9,"⚠ MSME due soon",IF(K81&lt;E81,"Part paid","Not due"))))))</f>
        <v/>
      </c>
      <c r="O81" s="50" t="str">
        <f aca="false">IF(AND(D81="",B81="",C81="",E81=""),"",IF(D81="","⚠ Pick supplier",IF(ISNA(MATCH(D81,Suppliers!$B$7:$B$106,0)),"⚠ Supplier not in list",IF(B81="","⚠ Enter bill date",IF(N(E81)&lt;=0,"⚠ Enter amount",IF(AND(C81&lt;&gt;"",COUNTIFS($D$8:$D$507,D81,$C$8:$C$507,C81)&gt;1),"⚠ Bill no. used twice",IF(N(I81)&gt;N(E81),"⚠ Paid more than bill","✔")))))))</f>
        <v/>
      </c>
      <c r="P81" s="9" t="n">
        <f aca="false">IF(D81="",0,MAX(0,N(E81)-N(I81)))</f>
        <v>0</v>
      </c>
      <c r="Q81" s="9" t="n">
        <f aca="false">IF(D81="",0,SUMIFS($P$8:$P$507,$D$8:$D$507,D81,$B$8:$B$507,"&lt;"&amp;B81)+SUMIFS($P$8:P80,$D$8:D80,D81,$B$8:B80,B81))</f>
        <v>0</v>
      </c>
      <c r="R81" s="9" t="n">
        <f aca="false">IF(D81="",0,IFERROR(INDEX(Suppliers!$R$7:$R$106,MATCH(D81,Suppliers!$B$7:$B$106,0)),0))</f>
        <v>0</v>
      </c>
      <c r="S81" s="9" t="str">
        <f aca="false">IF(N(K81)&gt;0,IF(H81="",99999,MIN(H81,IF(ISNUMBER(M81),M81,H81)))+ROW()/100000,"")</f>
        <v/>
      </c>
      <c r="U81" s="9" t="n">
        <f aca="false">IF(N(K81)&gt;0,N(L81),0)</f>
        <v>0</v>
      </c>
      <c r="V81" s="9" t="n">
        <f aca="false">IF(AND(N(K81)&gt;0,ISNUMBER(M81)),M81-Setup!$C$11,99999)</f>
        <v>99999</v>
      </c>
    </row>
    <row r="82" customFormat="false" ht="15" hidden="false" customHeight="false" outlineLevel="0" collapsed="false">
      <c r="A82" s="40" t="str">
        <f aca="false">IF(D82="","",ROW()-7)</f>
        <v/>
      </c>
      <c r="B82" s="79"/>
      <c r="C82" s="75"/>
      <c r="D82" s="76"/>
      <c r="E82" s="80"/>
      <c r="F82" s="79"/>
      <c r="G82" s="76"/>
      <c r="H82" s="54" t="str">
        <f aca="false">IF(OR(D82="",B82=""),"",IF(F82&lt;&gt;"",F82,B82+IFERROR(INDEX(Suppliers!$Q$7:$Q$106,MATCH(D82,Suppliers!$B$7:$B$106,0)),Setup!$C$7)))</f>
        <v/>
      </c>
      <c r="I82" s="46" t="str">
        <f aca="false">IF(OR(D82="",C82=""),IF(D82="","",0),SUMIFS(Payments!$D$8:$D$507,Payments!$C$8:$C$507,D82,Payments!$F$8:$F$507,C82))</f>
        <v/>
      </c>
      <c r="J82" s="46" t="str">
        <f aca="false">IF(D82="","",MIN(P82,MAX(0,R82-Q82)))</f>
        <v/>
      </c>
      <c r="K82" s="47" t="str">
        <f aca="false">IF(D82="","",P82-J82)</f>
        <v/>
      </c>
      <c r="L82" s="55" t="str">
        <f aca="false">IF(OR(D82="",N(K82)&lt;=0,H82=""),"",MAX(0,Setup!$C$11-H82))</f>
        <v/>
      </c>
      <c r="M82" s="54" t="str">
        <f aca="false">IF(OR(D82="",B82=""),"",IF(IFERROR(INDEX(Suppliers!$S$7:$S$106,MATCH(D82,Suppliers!$B$7:$B$106,0)),"")="","–",B82+IFERROR(INDEX(Suppliers!$S$7:$S$106,MATCH(D82,Suppliers!$B$7:$B$106,0)),"")))</f>
        <v/>
      </c>
      <c r="N82" s="56" t="str">
        <f aca="false">IF(D82="","",IF(N(K82)&lt;=0,"Paid",IF(AND(ISNUMBER(M82),Setup!$C$11&gt;M82),"⚠ MSME late",IF(N(L82)&gt;0,"Overdue",IF(N(V82)&lt;=Setup!$C$9,"⚠ MSME due soon",IF(K82&lt;E82,"Part paid","Not due"))))))</f>
        <v/>
      </c>
      <c r="O82" s="50" t="str">
        <f aca="false">IF(AND(D82="",B82="",C82="",E82=""),"",IF(D82="","⚠ Pick supplier",IF(ISNA(MATCH(D82,Suppliers!$B$7:$B$106,0)),"⚠ Supplier not in list",IF(B82="","⚠ Enter bill date",IF(N(E82)&lt;=0,"⚠ Enter amount",IF(AND(C82&lt;&gt;"",COUNTIFS($D$8:$D$507,D82,$C$8:$C$507,C82)&gt;1),"⚠ Bill no. used twice",IF(N(I82)&gt;N(E82),"⚠ Paid more than bill","✔")))))))</f>
        <v/>
      </c>
      <c r="P82" s="9" t="n">
        <f aca="false">IF(D82="",0,MAX(0,N(E82)-N(I82)))</f>
        <v>0</v>
      </c>
      <c r="Q82" s="9" t="n">
        <f aca="false">IF(D82="",0,SUMIFS($P$8:$P$507,$D$8:$D$507,D82,$B$8:$B$507,"&lt;"&amp;B82)+SUMIFS($P$8:P81,$D$8:D81,D82,$B$8:B81,B82))</f>
        <v>0</v>
      </c>
      <c r="R82" s="9" t="n">
        <f aca="false">IF(D82="",0,IFERROR(INDEX(Suppliers!$R$7:$R$106,MATCH(D82,Suppliers!$B$7:$B$106,0)),0))</f>
        <v>0</v>
      </c>
      <c r="S82" s="9" t="str">
        <f aca="false">IF(N(K82)&gt;0,IF(H82="",99999,MIN(H82,IF(ISNUMBER(M82),M82,H82)))+ROW()/100000,"")</f>
        <v/>
      </c>
      <c r="U82" s="9" t="n">
        <f aca="false">IF(N(K82)&gt;0,N(L82),0)</f>
        <v>0</v>
      </c>
      <c r="V82" s="9" t="n">
        <f aca="false">IF(AND(N(K82)&gt;0,ISNUMBER(M82)),M82-Setup!$C$11,99999)</f>
        <v>99999</v>
      </c>
    </row>
    <row r="83" customFormat="false" ht="15" hidden="false" customHeight="false" outlineLevel="0" collapsed="false">
      <c r="A83" s="40" t="str">
        <f aca="false">IF(D83="","",ROW()-7)</f>
        <v/>
      </c>
      <c r="B83" s="79"/>
      <c r="C83" s="75"/>
      <c r="D83" s="76"/>
      <c r="E83" s="80"/>
      <c r="F83" s="79"/>
      <c r="G83" s="76"/>
      <c r="H83" s="54" t="str">
        <f aca="false">IF(OR(D83="",B83=""),"",IF(F83&lt;&gt;"",F83,B83+IFERROR(INDEX(Suppliers!$Q$7:$Q$106,MATCH(D83,Suppliers!$B$7:$B$106,0)),Setup!$C$7)))</f>
        <v/>
      </c>
      <c r="I83" s="46" t="str">
        <f aca="false">IF(OR(D83="",C83=""),IF(D83="","",0),SUMIFS(Payments!$D$8:$D$507,Payments!$C$8:$C$507,D83,Payments!$F$8:$F$507,C83))</f>
        <v/>
      </c>
      <c r="J83" s="46" t="str">
        <f aca="false">IF(D83="","",MIN(P83,MAX(0,R83-Q83)))</f>
        <v/>
      </c>
      <c r="K83" s="47" t="str">
        <f aca="false">IF(D83="","",P83-J83)</f>
        <v/>
      </c>
      <c r="L83" s="55" t="str">
        <f aca="false">IF(OR(D83="",N(K83)&lt;=0,H83=""),"",MAX(0,Setup!$C$11-H83))</f>
        <v/>
      </c>
      <c r="M83" s="54" t="str">
        <f aca="false">IF(OR(D83="",B83=""),"",IF(IFERROR(INDEX(Suppliers!$S$7:$S$106,MATCH(D83,Suppliers!$B$7:$B$106,0)),"")="","–",B83+IFERROR(INDEX(Suppliers!$S$7:$S$106,MATCH(D83,Suppliers!$B$7:$B$106,0)),"")))</f>
        <v/>
      </c>
      <c r="N83" s="56" t="str">
        <f aca="false">IF(D83="","",IF(N(K83)&lt;=0,"Paid",IF(AND(ISNUMBER(M83),Setup!$C$11&gt;M83),"⚠ MSME late",IF(N(L83)&gt;0,"Overdue",IF(N(V83)&lt;=Setup!$C$9,"⚠ MSME due soon",IF(K83&lt;E83,"Part paid","Not due"))))))</f>
        <v/>
      </c>
      <c r="O83" s="50" t="str">
        <f aca="false">IF(AND(D83="",B83="",C83="",E83=""),"",IF(D83="","⚠ Pick supplier",IF(ISNA(MATCH(D83,Suppliers!$B$7:$B$106,0)),"⚠ Supplier not in list",IF(B83="","⚠ Enter bill date",IF(N(E83)&lt;=0,"⚠ Enter amount",IF(AND(C83&lt;&gt;"",COUNTIFS($D$8:$D$507,D83,$C$8:$C$507,C83)&gt;1),"⚠ Bill no. used twice",IF(N(I83)&gt;N(E83),"⚠ Paid more than bill","✔")))))))</f>
        <v/>
      </c>
      <c r="P83" s="9" t="n">
        <f aca="false">IF(D83="",0,MAX(0,N(E83)-N(I83)))</f>
        <v>0</v>
      </c>
      <c r="Q83" s="9" t="n">
        <f aca="false">IF(D83="",0,SUMIFS($P$8:$P$507,$D$8:$D$507,D83,$B$8:$B$507,"&lt;"&amp;B83)+SUMIFS($P$8:P82,$D$8:D82,D83,$B$8:B82,B83))</f>
        <v>0</v>
      </c>
      <c r="R83" s="9" t="n">
        <f aca="false">IF(D83="",0,IFERROR(INDEX(Suppliers!$R$7:$R$106,MATCH(D83,Suppliers!$B$7:$B$106,0)),0))</f>
        <v>0</v>
      </c>
      <c r="S83" s="9" t="str">
        <f aca="false">IF(N(K83)&gt;0,IF(H83="",99999,MIN(H83,IF(ISNUMBER(M83),M83,H83)))+ROW()/100000,"")</f>
        <v/>
      </c>
      <c r="U83" s="9" t="n">
        <f aca="false">IF(N(K83)&gt;0,N(L83),0)</f>
        <v>0</v>
      </c>
      <c r="V83" s="9" t="n">
        <f aca="false">IF(AND(N(K83)&gt;0,ISNUMBER(M83)),M83-Setup!$C$11,99999)</f>
        <v>99999</v>
      </c>
    </row>
    <row r="84" customFormat="false" ht="15" hidden="false" customHeight="false" outlineLevel="0" collapsed="false">
      <c r="A84" s="40" t="str">
        <f aca="false">IF(D84="","",ROW()-7)</f>
        <v/>
      </c>
      <c r="B84" s="79"/>
      <c r="C84" s="75"/>
      <c r="D84" s="76"/>
      <c r="E84" s="80"/>
      <c r="F84" s="79"/>
      <c r="G84" s="76"/>
      <c r="H84" s="54" t="str">
        <f aca="false">IF(OR(D84="",B84=""),"",IF(F84&lt;&gt;"",F84,B84+IFERROR(INDEX(Suppliers!$Q$7:$Q$106,MATCH(D84,Suppliers!$B$7:$B$106,0)),Setup!$C$7)))</f>
        <v/>
      </c>
      <c r="I84" s="46" t="str">
        <f aca="false">IF(OR(D84="",C84=""),IF(D84="","",0),SUMIFS(Payments!$D$8:$D$507,Payments!$C$8:$C$507,D84,Payments!$F$8:$F$507,C84))</f>
        <v/>
      </c>
      <c r="J84" s="46" t="str">
        <f aca="false">IF(D84="","",MIN(P84,MAX(0,R84-Q84)))</f>
        <v/>
      </c>
      <c r="K84" s="47" t="str">
        <f aca="false">IF(D84="","",P84-J84)</f>
        <v/>
      </c>
      <c r="L84" s="55" t="str">
        <f aca="false">IF(OR(D84="",N(K84)&lt;=0,H84=""),"",MAX(0,Setup!$C$11-H84))</f>
        <v/>
      </c>
      <c r="M84" s="54" t="str">
        <f aca="false">IF(OR(D84="",B84=""),"",IF(IFERROR(INDEX(Suppliers!$S$7:$S$106,MATCH(D84,Suppliers!$B$7:$B$106,0)),"")="","–",B84+IFERROR(INDEX(Suppliers!$S$7:$S$106,MATCH(D84,Suppliers!$B$7:$B$106,0)),"")))</f>
        <v/>
      </c>
      <c r="N84" s="56" t="str">
        <f aca="false">IF(D84="","",IF(N(K84)&lt;=0,"Paid",IF(AND(ISNUMBER(M84),Setup!$C$11&gt;M84),"⚠ MSME late",IF(N(L84)&gt;0,"Overdue",IF(N(V84)&lt;=Setup!$C$9,"⚠ MSME due soon",IF(K84&lt;E84,"Part paid","Not due"))))))</f>
        <v/>
      </c>
      <c r="O84" s="50" t="str">
        <f aca="false">IF(AND(D84="",B84="",C84="",E84=""),"",IF(D84="","⚠ Pick supplier",IF(ISNA(MATCH(D84,Suppliers!$B$7:$B$106,0)),"⚠ Supplier not in list",IF(B84="","⚠ Enter bill date",IF(N(E84)&lt;=0,"⚠ Enter amount",IF(AND(C84&lt;&gt;"",COUNTIFS($D$8:$D$507,D84,$C$8:$C$507,C84)&gt;1),"⚠ Bill no. used twice",IF(N(I84)&gt;N(E84),"⚠ Paid more than bill","✔")))))))</f>
        <v/>
      </c>
      <c r="P84" s="9" t="n">
        <f aca="false">IF(D84="",0,MAX(0,N(E84)-N(I84)))</f>
        <v>0</v>
      </c>
      <c r="Q84" s="9" t="n">
        <f aca="false">IF(D84="",0,SUMIFS($P$8:$P$507,$D$8:$D$507,D84,$B$8:$B$507,"&lt;"&amp;B84)+SUMIFS($P$8:P83,$D$8:D83,D84,$B$8:B83,B84))</f>
        <v>0</v>
      </c>
      <c r="R84" s="9" t="n">
        <f aca="false">IF(D84="",0,IFERROR(INDEX(Suppliers!$R$7:$R$106,MATCH(D84,Suppliers!$B$7:$B$106,0)),0))</f>
        <v>0</v>
      </c>
      <c r="S84" s="9" t="str">
        <f aca="false">IF(N(K84)&gt;0,IF(H84="",99999,MIN(H84,IF(ISNUMBER(M84),M84,H84)))+ROW()/100000,"")</f>
        <v/>
      </c>
      <c r="U84" s="9" t="n">
        <f aca="false">IF(N(K84)&gt;0,N(L84),0)</f>
        <v>0</v>
      </c>
      <c r="V84" s="9" t="n">
        <f aca="false">IF(AND(N(K84)&gt;0,ISNUMBER(M84)),M84-Setup!$C$11,99999)</f>
        <v>99999</v>
      </c>
    </row>
    <row r="85" customFormat="false" ht="15" hidden="false" customHeight="false" outlineLevel="0" collapsed="false">
      <c r="A85" s="40" t="str">
        <f aca="false">IF(D85="","",ROW()-7)</f>
        <v/>
      </c>
      <c r="B85" s="79"/>
      <c r="C85" s="75"/>
      <c r="D85" s="76"/>
      <c r="E85" s="80"/>
      <c r="F85" s="79"/>
      <c r="G85" s="76"/>
      <c r="H85" s="54" t="str">
        <f aca="false">IF(OR(D85="",B85=""),"",IF(F85&lt;&gt;"",F85,B85+IFERROR(INDEX(Suppliers!$Q$7:$Q$106,MATCH(D85,Suppliers!$B$7:$B$106,0)),Setup!$C$7)))</f>
        <v/>
      </c>
      <c r="I85" s="46" t="str">
        <f aca="false">IF(OR(D85="",C85=""),IF(D85="","",0),SUMIFS(Payments!$D$8:$D$507,Payments!$C$8:$C$507,D85,Payments!$F$8:$F$507,C85))</f>
        <v/>
      </c>
      <c r="J85" s="46" t="str">
        <f aca="false">IF(D85="","",MIN(P85,MAX(0,R85-Q85)))</f>
        <v/>
      </c>
      <c r="K85" s="47" t="str">
        <f aca="false">IF(D85="","",P85-J85)</f>
        <v/>
      </c>
      <c r="L85" s="55" t="str">
        <f aca="false">IF(OR(D85="",N(K85)&lt;=0,H85=""),"",MAX(0,Setup!$C$11-H85))</f>
        <v/>
      </c>
      <c r="M85" s="54" t="str">
        <f aca="false">IF(OR(D85="",B85=""),"",IF(IFERROR(INDEX(Suppliers!$S$7:$S$106,MATCH(D85,Suppliers!$B$7:$B$106,0)),"")="","–",B85+IFERROR(INDEX(Suppliers!$S$7:$S$106,MATCH(D85,Suppliers!$B$7:$B$106,0)),"")))</f>
        <v/>
      </c>
      <c r="N85" s="56" t="str">
        <f aca="false">IF(D85="","",IF(N(K85)&lt;=0,"Paid",IF(AND(ISNUMBER(M85),Setup!$C$11&gt;M85),"⚠ MSME late",IF(N(L85)&gt;0,"Overdue",IF(N(V85)&lt;=Setup!$C$9,"⚠ MSME due soon",IF(K85&lt;E85,"Part paid","Not due"))))))</f>
        <v/>
      </c>
      <c r="O85" s="50" t="str">
        <f aca="false">IF(AND(D85="",B85="",C85="",E85=""),"",IF(D85="","⚠ Pick supplier",IF(ISNA(MATCH(D85,Suppliers!$B$7:$B$106,0)),"⚠ Supplier not in list",IF(B85="","⚠ Enter bill date",IF(N(E85)&lt;=0,"⚠ Enter amount",IF(AND(C85&lt;&gt;"",COUNTIFS($D$8:$D$507,D85,$C$8:$C$507,C85)&gt;1),"⚠ Bill no. used twice",IF(N(I85)&gt;N(E85),"⚠ Paid more than bill","✔")))))))</f>
        <v/>
      </c>
      <c r="P85" s="9" t="n">
        <f aca="false">IF(D85="",0,MAX(0,N(E85)-N(I85)))</f>
        <v>0</v>
      </c>
      <c r="Q85" s="9" t="n">
        <f aca="false">IF(D85="",0,SUMIFS($P$8:$P$507,$D$8:$D$507,D85,$B$8:$B$507,"&lt;"&amp;B85)+SUMIFS($P$8:P84,$D$8:D84,D85,$B$8:B84,B85))</f>
        <v>0</v>
      </c>
      <c r="R85" s="9" t="n">
        <f aca="false">IF(D85="",0,IFERROR(INDEX(Suppliers!$R$7:$R$106,MATCH(D85,Suppliers!$B$7:$B$106,0)),0))</f>
        <v>0</v>
      </c>
      <c r="S85" s="9" t="str">
        <f aca="false">IF(N(K85)&gt;0,IF(H85="",99999,MIN(H85,IF(ISNUMBER(M85),M85,H85)))+ROW()/100000,"")</f>
        <v/>
      </c>
      <c r="U85" s="9" t="n">
        <f aca="false">IF(N(K85)&gt;0,N(L85),0)</f>
        <v>0</v>
      </c>
      <c r="V85" s="9" t="n">
        <f aca="false">IF(AND(N(K85)&gt;0,ISNUMBER(M85)),M85-Setup!$C$11,99999)</f>
        <v>99999</v>
      </c>
    </row>
    <row r="86" customFormat="false" ht="15" hidden="false" customHeight="false" outlineLevel="0" collapsed="false">
      <c r="A86" s="40" t="str">
        <f aca="false">IF(D86="","",ROW()-7)</f>
        <v/>
      </c>
      <c r="B86" s="79"/>
      <c r="C86" s="75"/>
      <c r="D86" s="76"/>
      <c r="E86" s="80"/>
      <c r="F86" s="79"/>
      <c r="G86" s="76"/>
      <c r="H86" s="54" t="str">
        <f aca="false">IF(OR(D86="",B86=""),"",IF(F86&lt;&gt;"",F86,B86+IFERROR(INDEX(Suppliers!$Q$7:$Q$106,MATCH(D86,Suppliers!$B$7:$B$106,0)),Setup!$C$7)))</f>
        <v/>
      </c>
      <c r="I86" s="46" t="str">
        <f aca="false">IF(OR(D86="",C86=""),IF(D86="","",0),SUMIFS(Payments!$D$8:$D$507,Payments!$C$8:$C$507,D86,Payments!$F$8:$F$507,C86))</f>
        <v/>
      </c>
      <c r="J86" s="46" t="str">
        <f aca="false">IF(D86="","",MIN(P86,MAX(0,R86-Q86)))</f>
        <v/>
      </c>
      <c r="K86" s="47" t="str">
        <f aca="false">IF(D86="","",P86-J86)</f>
        <v/>
      </c>
      <c r="L86" s="55" t="str">
        <f aca="false">IF(OR(D86="",N(K86)&lt;=0,H86=""),"",MAX(0,Setup!$C$11-H86))</f>
        <v/>
      </c>
      <c r="M86" s="54" t="str">
        <f aca="false">IF(OR(D86="",B86=""),"",IF(IFERROR(INDEX(Suppliers!$S$7:$S$106,MATCH(D86,Suppliers!$B$7:$B$106,0)),"")="","–",B86+IFERROR(INDEX(Suppliers!$S$7:$S$106,MATCH(D86,Suppliers!$B$7:$B$106,0)),"")))</f>
        <v/>
      </c>
      <c r="N86" s="56" t="str">
        <f aca="false">IF(D86="","",IF(N(K86)&lt;=0,"Paid",IF(AND(ISNUMBER(M86),Setup!$C$11&gt;M86),"⚠ MSME late",IF(N(L86)&gt;0,"Overdue",IF(N(V86)&lt;=Setup!$C$9,"⚠ MSME due soon",IF(K86&lt;E86,"Part paid","Not due"))))))</f>
        <v/>
      </c>
      <c r="O86" s="50" t="str">
        <f aca="false">IF(AND(D86="",B86="",C86="",E86=""),"",IF(D86="","⚠ Pick supplier",IF(ISNA(MATCH(D86,Suppliers!$B$7:$B$106,0)),"⚠ Supplier not in list",IF(B86="","⚠ Enter bill date",IF(N(E86)&lt;=0,"⚠ Enter amount",IF(AND(C86&lt;&gt;"",COUNTIFS($D$8:$D$507,D86,$C$8:$C$507,C86)&gt;1),"⚠ Bill no. used twice",IF(N(I86)&gt;N(E86),"⚠ Paid more than bill","✔")))))))</f>
        <v/>
      </c>
      <c r="P86" s="9" t="n">
        <f aca="false">IF(D86="",0,MAX(0,N(E86)-N(I86)))</f>
        <v>0</v>
      </c>
      <c r="Q86" s="9" t="n">
        <f aca="false">IF(D86="",0,SUMIFS($P$8:$P$507,$D$8:$D$507,D86,$B$8:$B$507,"&lt;"&amp;B86)+SUMIFS($P$8:P85,$D$8:D85,D86,$B$8:B85,B86))</f>
        <v>0</v>
      </c>
      <c r="R86" s="9" t="n">
        <f aca="false">IF(D86="",0,IFERROR(INDEX(Suppliers!$R$7:$R$106,MATCH(D86,Suppliers!$B$7:$B$106,0)),0))</f>
        <v>0</v>
      </c>
      <c r="S86" s="9" t="str">
        <f aca="false">IF(N(K86)&gt;0,IF(H86="",99999,MIN(H86,IF(ISNUMBER(M86),M86,H86)))+ROW()/100000,"")</f>
        <v/>
      </c>
      <c r="U86" s="9" t="n">
        <f aca="false">IF(N(K86)&gt;0,N(L86),0)</f>
        <v>0</v>
      </c>
      <c r="V86" s="9" t="n">
        <f aca="false">IF(AND(N(K86)&gt;0,ISNUMBER(M86)),M86-Setup!$C$11,99999)</f>
        <v>99999</v>
      </c>
    </row>
    <row r="87" customFormat="false" ht="15" hidden="false" customHeight="false" outlineLevel="0" collapsed="false">
      <c r="A87" s="40" t="str">
        <f aca="false">IF(D87="","",ROW()-7)</f>
        <v/>
      </c>
      <c r="B87" s="79"/>
      <c r="C87" s="75"/>
      <c r="D87" s="76"/>
      <c r="E87" s="80"/>
      <c r="F87" s="79"/>
      <c r="G87" s="76"/>
      <c r="H87" s="54" t="str">
        <f aca="false">IF(OR(D87="",B87=""),"",IF(F87&lt;&gt;"",F87,B87+IFERROR(INDEX(Suppliers!$Q$7:$Q$106,MATCH(D87,Suppliers!$B$7:$B$106,0)),Setup!$C$7)))</f>
        <v/>
      </c>
      <c r="I87" s="46" t="str">
        <f aca="false">IF(OR(D87="",C87=""),IF(D87="","",0),SUMIFS(Payments!$D$8:$D$507,Payments!$C$8:$C$507,D87,Payments!$F$8:$F$507,C87))</f>
        <v/>
      </c>
      <c r="J87" s="46" t="str">
        <f aca="false">IF(D87="","",MIN(P87,MAX(0,R87-Q87)))</f>
        <v/>
      </c>
      <c r="K87" s="47" t="str">
        <f aca="false">IF(D87="","",P87-J87)</f>
        <v/>
      </c>
      <c r="L87" s="55" t="str">
        <f aca="false">IF(OR(D87="",N(K87)&lt;=0,H87=""),"",MAX(0,Setup!$C$11-H87))</f>
        <v/>
      </c>
      <c r="M87" s="54" t="str">
        <f aca="false">IF(OR(D87="",B87=""),"",IF(IFERROR(INDEX(Suppliers!$S$7:$S$106,MATCH(D87,Suppliers!$B$7:$B$106,0)),"")="","–",B87+IFERROR(INDEX(Suppliers!$S$7:$S$106,MATCH(D87,Suppliers!$B$7:$B$106,0)),"")))</f>
        <v/>
      </c>
      <c r="N87" s="56" t="str">
        <f aca="false">IF(D87="","",IF(N(K87)&lt;=0,"Paid",IF(AND(ISNUMBER(M87),Setup!$C$11&gt;M87),"⚠ MSME late",IF(N(L87)&gt;0,"Overdue",IF(N(V87)&lt;=Setup!$C$9,"⚠ MSME due soon",IF(K87&lt;E87,"Part paid","Not due"))))))</f>
        <v/>
      </c>
      <c r="O87" s="50" t="str">
        <f aca="false">IF(AND(D87="",B87="",C87="",E87=""),"",IF(D87="","⚠ Pick supplier",IF(ISNA(MATCH(D87,Suppliers!$B$7:$B$106,0)),"⚠ Supplier not in list",IF(B87="","⚠ Enter bill date",IF(N(E87)&lt;=0,"⚠ Enter amount",IF(AND(C87&lt;&gt;"",COUNTIFS($D$8:$D$507,D87,$C$8:$C$507,C87)&gt;1),"⚠ Bill no. used twice",IF(N(I87)&gt;N(E87),"⚠ Paid more than bill","✔")))))))</f>
        <v/>
      </c>
      <c r="P87" s="9" t="n">
        <f aca="false">IF(D87="",0,MAX(0,N(E87)-N(I87)))</f>
        <v>0</v>
      </c>
      <c r="Q87" s="9" t="n">
        <f aca="false">IF(D87="",0,SUMIFS($P$8:$P$507,$D$8:$D$507,D87,$B$8:$B$507,"&lt;"&amp;B87)+SUMIFS($P$8:P86,$D$8:D86,D87,$B$8:B86,B87))</f>
        <v>0</v>
      </c>
      <c r="R87" s="9" t="n">
        <f aca="false">IF(D87="",0,IFERROR(INDEX(Suppliers!$R$7:$R$106,MATCH(D87,Suppliers!$B$7:$B$106,0)),0))</f>
        <v>0</v>
      </c>
      <c r="S87" s="9" t="str">
        <f aca="false">IF(N(K87)&gt;0,IF(H87="",99999,MIN(H87,IF(ISNUMBER(M87),M87,H87)))+ROW()/100000,"")</f>
        <v/>
      </c>
      <c r="U87" s="9" t="n">
        <f aca="false">IF(N(K87)&gt;0,N(L87),0)</f>
        <v>0</v>
      </c>
      <c r="V87" s="9" t="n">
        <f aca="false">IF(AND(N(K87)&gt;0,ISNUMBER(M87)),M87-Setup!$C$11,99999)</f>
        <v>99999</v>
      </c>
    </row>
    <row r="88" customFormat="false" ht="15" hidden="false" customHeight="false" outlineLevel="0" collapsed="false">
      <c r="A88" s="40" t="str">
        <f aca="false">IF(D88="","",ROW()-7)</f>
        <v/>
      </c>
      <c r="B88" s="79"/>
      <c r="C88" s="75"/>
      <c r="D88" s="76"/>
      <c r="E88" s="80"/>
      <c r="F88" s="79"/>
      <c r="G88" s="76"/>
      <c r="H88" s="54" t="str">
        <f aca="false">IF(OR(D88="",B88=""),"",IF(F88&lt;&gt;"",F88,B88+IFERROR(INDEX(Suppliers!$Q$7:$Q$106,MATCH(D88,Suppliers!$B$7:$B$106,0)),Setup!$C$7)))</f>
        <v/>
      </c>
      <c r="I88" s="46" t="str">
        <f aca="false">IF(OR(D88="",C88=""),IF(D88="","",0),SUMIFS(Payments!$D$8:$D$507,Payments!$C$8:$C$507,D88,Payments!$F$8:$F$507,C88))</f>
        <v/>
      </c>
      <c r="J88" s="46" t="str">
        <f aca="false">IF(D88="","",MIN(P88,MAX(0,R88-Q88)))</f>
        <v/>
      </c>
      <c r="K88" s="47" t="str">
        <f aca="false">IF(D88="","",P88-J88)</f>
        <v/>
      </c>
      <c r="L88" s="55" t="str">
        <f aca="false">IF(OR(D88="",N(K88)&lt;=0,H88=""),"",MAX(0,Setup!$C$11-H88))</f>
        <v/>
      </c>
      <c r="M88" s="54" t="str">
        <f aca="false">IF(OR(D88="",B88=""),"",IF(IFERROR(INDEX(Suppliers!$S$7:$S$106,MATCH(D88,Suppliers!$B$7:$B$106,0)),"")="","–",B88+IFERROR(INDEX(Suppliers!$S$7:$S$106,MATCH(D88,Suppliers!$B$7:$B$106,0)),"")))</f>
        <v/>
      </c>
      <c r="N88" s="56" t="str">
        <f aca="false">IF(D88="","",IF(N(K88)&lt;=0,"Paid",IF(AND(ISNUMBER(M88),Setup!$C$11&gt;M88),"⚠ MSME late",IF(N(L88)&gt;0,"Overdue",IF(N(V88)&lt;=Setup!$C$9,"⚠ MSME due soon",IF(K88&lt;E88,"Part paid","Not due"))))))</f>
        <v/>
      </c>
      <c r="O88" s="50" t="str">
        <f aca="false">IF(AND(D88="",B88="",C88="",E88=""),"",IF(D88="","⚠ Pick supplier",IF(ISNA(MATCH(D88,Suppliers!$B$7:$B$106,0)),"⚠ Supplier not in list",IF(B88="","⚠ Enter bill date",IF(N(E88)&lt;=0,"⚠ Enter amount",IF(AND(C88&lt;&gt;"",COUNTIFS($D$8:$D$507,D88,$C$8:$C$507,C88)&gt;1),"⚠ Bill no. used twice",IF(N(I88)&gt;N(E88),"⚠ Paid more than bill","✔")))))))</f>
        <v/>
      </c>
      <c r="P88" s="9" t="n">
        <f aca="false">IF(D88="",0,MAX(0,N(E88)-N(I88)))</f>
        <v>0</v>
      </c>
      <c r="Q88" s="9" t="n">
        <f aca="false">IF(D88="",0,SUMIFS($P$8:$P$507,$D$8:$D$507,D88,$B$8:$B$507,"&lt;"&amp;B88)+SUMIFS($P$8:P87,$D$8:D87,D88,$B$8:B87,B88))</f>
        <v>0</v>
      </c>
      <c r="R88" s="9" t="n">
        <f aca="false">IF(D88="",0,IFERROR(INDEX(Suppliers!$R$7:$R$106,MATCH(D88,Suppliers!$B$7:$B$106,0)),0))</f>
        <v>0</v>
      </c>
      <c r="S88" s="9" t="str">
        <f aca="false">IF(N(K88)&gt;0,IF(H88="",99999,MIN(H88,IF(ISNUMBER(M88),M88,H88)))+ROW()/100000,"")</f>
        <v/>
      </c>
      <c r="U88" s="9" t="n">
        <f aca="false">IF(N(K88)&gt;0,N(L88),0)</f>
        <v>0</v>
      </c>
      <c r="V88" s="9" t="n">
        <f aca="false">IF(AND(N(K88)&gt;0,ISNUMBER(M88)),M88-Setup!$C$11,99999)</f>
        <v>99999</v>
      </c>
    </row>
    <row r="89" customFormat="false" ht="15" hidden="false" customHeight="false" outlineLevel="0" collapsed="false">
      <c r="A89" s="40" t="str">
        <f aca="false">IF(D89="","",ROW()-7)</f>
        <v/>
      </c>
      <c r="B89" s="79"/>
      <c r="C89" s="75"/>
      <c r="D89" s="76"/>
      <c r="E89" s="80"/>
      <c r="F89" s="79"/>
      <c r="G89" s="76"/>
      <c r="H89" s="54" t="str">
        <f aca="false">IF(OR(D89="",B89=""),"",IF(F89&lt;&gt;"",F89,B89+IFERROR(INDEX(Suppliers!$Q$7:$Q$106,MATCH(D89,Suppliers!$B$7:$B$106,0)),Setup!$C$7)))</f>
        <v/>
      </c>
      <c r="I89" s="46" t="str">
        <f aca="false">IF(OR(D89="",C89=""),IF(D89="","",0),SUMIFS(Payments!$D$8:$D$507,Payments!$C$8:$C$507,D89,Payments!$F$8:$F$507,C89))</f>
        <v/>
      </c>
      <c r="J89" s="46" t="str">
        <f aca="false">IF(D89="","",MIN(P89,MAX(0,R89-Q89)))</f>
        <v/>
      </c>
      <c r="K89" s="47" t="str">
        <f aca="false">IF(D89="","",P89-J89)</f>
        <v/>
      </c>
      <c r="L89" s="55" t="str">
        <f aca="false">IF(OR(D89="",N(K89)&lt;=0,H89=""),"",MAX(0,Setup!$C$11-H89))</f>
        <v/>
      </c>
      <c r="M89" s="54" t="str">
        <f aca="false">IF(OR(D89="",B89=""),"",IF(IFERROR(INDEX(Suppliers!$S$7:$S$106,MATCH(D89,Suppliers!$B$7:$B$106,0)),"")="","–",B89+IFERROR(INDEX(Suppliers!$S$7:$S$106,MATCH(D89,Suppliers!$B$7:$B$106,0)),"")))</f>
        <v/>
      </c>
      <c r="N89" s="56" t="str">
        <f aca="false">IF(D89="","",IF(N(K89)&lt;=0,"Paid",IF(AND(ISNUMBER(M89),Setup!$C$11&gt;M89),"⚠ MSME late",IF(N(L89)&gt;0,"Overdue",IF(N(V89)&lt;=Setup!$C$9,"⚠ MSME due soon",IF(K89&lt;E89,"Part paid","Not due"))))))</f>
        <v/>
      </c>
      <c r="O89" s="50" t="str">
        <f aca="false">IF(AND(D89="",B89="",C89="",E89=""),"",IF(D89="","⚠ Pick supplier",IF(ISNA(MATCH(D89,Suppliers!$B$7:$B$106,0)),"⚠ Supplier not in list",IF(B89="","⚠ Enter bill date",IF(N(E89)&lt;=0,"⚠ Enter amount",IF(AND(C89&lt;&gt;"",COUNTIFS($D$8:$D$507,D89,$C$8:$C$507,C89)&gt;1),"⚠ Bill no. used twice",IF(N(I89)&gt;N(E89),"⚠ Paid more than bill","✔")))))))</f>
        <v/>
      </c>
      <c r="P89" s="9" t="n">
        <f aca="false">IF(D89="",0,MAX(0,N(E89)-N(I89)))</f>
        <v>0</v>
      </c>
      <c r="Q89" s="9" t="n">
        <f aca="false">IF(D89="",0,SUMIFS($P$8:$P$507,$D$8:$D$507,D89,$B$8:$B$507,"&lt;"&amp;B89)+SUMIFS($P$8:P88,$D$8:D88,D89,$B$8:B88,B89))</f>
        <v>0</v>
      </c>
      <c r="R89" s="9" t="n">
        <f aca="false">IF(D89="",0,IFERROR(INDEX(Suppliers!$R$7:$R$106,MATCH(D89,Suppliers!$B$7:$B$106,0)),0))</f>
        <v>0</v>
      </c>
      <c r="S89" s="9" t="str">
        <f aca="false">IF(N(K89)&gt;0,IF(H89="",99999,MIN(H89,IF(ISNUMBER(M89),M89,H89)))+ROW()/100000,"")</f>
        <v/>
      </c>
      <c r="U89" s="9" t="n">
        <f aca="false">IF(N(K89)&gt;0,N(L89),0)</f>
        <v>0</v>
      </c>
      <c r="V89" s="9" t="n">
        <f aca="false">IF(AND(N(K89)&gt;0,ISNUMBER(M89)),M89-Setup!$C$11,99999)</f>
        <v>99999</v>
      </c>
    </row>
    <row r="90" customFormat="false" ht="15" hidden="false" customHeight="false" outlineLevel="0" collapsed="false">
      <c r="A90" s="40" t="str">
        <f aca="false">IF(D90="","",ROW()-7)</f>
        <v/>
      </c>
      <c r="B90" s="79"/>
      <c r="C90" s="75"/>
      <c r="D90" s="76"/>
      <c r="E90" s="80"/>
      <c r="F90" s="79"/>
      <c r="G90" s="76"/>
      <c r="H90" s="54" t="str">
        <f aca="false">IF(OR(D90="",B90=""),"",IF(F90&lt;&gt;"",F90,B90+IFERROR(INDEX(Suppliers!$Q$7:$Q$106,MATCH(D90,Suppliers!$B$7:$B$106,0)),Setup!$C$7)))</f>
        <v/>
      </c>
      <c r="I90" s="46" t="str">
        <f aca="false">IF(OR(D90="",C90=""),IF(D90="","",0),SUMIFS(Payments!$D$8:$D$507,Payments!$C$8:$C$507,D90,Payments!$F$8:$F$507,C90))</f>
        <v/>
      </c>
      <c r="J90" s="46" t="str">
        <f aca="false">IF(D90="","",MIN(P90,MAX(0,R90-Q90)))</f>
        <v/>
      </c>
      <c r="K90" s="47" t="str">
        <f aca="false">IF(D90="","",P90-J90)</f>
        <v/>
      </c>
      <c r="L90" s="55" t="str">
        <f aca="false">IF(OR(D90="",N(K90)&lt;=0,H90=""),"",MAX(0,Setup!$C$11-H90))</f>
        <v/>
      </c>
      <c r="M90" s="54" t="str">
        <f aca="false">IF(OR(D90="",B90=""),"",IF(IFERROR(INDEX(Suppliers!$S$7:$S$106,MATCH(D90,Suppliers!$B$7:$B$106,0)),"")="","–",B90+IFERROR(INDEX(Suppliers!$S$7:$S$106,MATCH(D90,Suppliers!$B$7:$B$106,0)),"")))</f>
        <v/>
      </c>
      <c r="N90" s="56" t="str">
        <f aca="false">IF(D90="","",IF(N(K90)&lt;=0,"Paid",IF(AND(ISNUMBER(M90),Setup!$C$11&gt;M90),"⚠ MSME late",IF(N(L90)&gt;0,"Overdue",IF(N(V90)&lt;=Setup!$C$9,"⚠ MSME due soon",IF(K90&lt;E90,"Part paid","Not due"))))))</f>
        <v/>
      </c>
      <c r="O90" s="50" t="str">
        <f aca="false">IF(AND(D90="",B90="",C90="",E90=""),"",IF(D90="","⚠ Pick supplier",IF(ISNA(MATCH(D90,Suppliers!$B$7:$B$106,0)),"⚠ Supplier not in list",IF(B90="","⚠ Enter bill date",IF(N(E90)&lt;=0,"⚠ Enter amount",IF(AND(C90&lt;&gt;"",COUNTIFS($D$8:$D$507,D90,$C$8:$C$507,C90)&gt;1),"⚠ Bill no. used twice",IF(N(I90)&gt;N(E90),"⚠ Paid more than bill","✔")))))))</f>
        <v/>
      </c>
      <c r="P90" s="9" t="n">
        <f aca="false">IF(D90="",0,MAX(0,N(E90)-N(I90)))</f>
        <v>0</v>
      </c>
      <c r="Q90" s="9" t="n">
        <f aca="false">IF(D90="",0,SUMIFS($P$8:$P$507,$D$8:$D$507,D90,$B$8:$B$507,"&lt;"&amp;B90)+SUMIFS($P$8:P89,$D$8:D89,D90,$B$8:B89,B90))</f>
        <v>0</v>
      </c>
      <c r="R90" s="9" t="n">
        <f aca="false">IF(D90="",0,IFERROR(INDEX(Suppliers!$R$7:$R$106,MATCH(D90,Suppliers!$B$7:$B$106,0)),0))</f>
        <v>0</v>
      </c>
      <c r="S90" s="9" t="str">
        <f aca="false">IF(N(K90)&gt;0,IF(H90="",99999,MIN(H90,IF(ISNUMBER(M90),M90,H90)))+ROW()/100000,"")</f>
        <v/>
      </c>
      <c r="U90" s="9" t="n">
        <f aca="false">IF(N(K90)&gt;0,N(L90),0)</f>
        <v>0</v>
      </c>
      <c r="V90" s="9" t="n">
        <f aca="false">IF(AND(N(K90)&gt;0,ISNUMBER(M90)),M90-Setup!$C$11,99999)</f>
        <v>99999</v>
      </c>
    </row>
    <row r="91" customFormat="false" ht="15" hidden="false" customHeight="false" outlineLevel="0" collapsed="false">
      <c r="A91" s="40" t="str">
        <f aca="false">IF(D91="","",ROW()-7)</f>
        <v/>
      </c>
      <c r="B91" s="79"/>
      <c r="C91" s="75"/>
      <c r="D91" s="76"/>
      <c r="E91" s="80"/>
      <c r="F91" s="79"/>
      <c r="G91" s="76"/>
      <c r="H91" s="54" t="str">
        <f aca="false">IF(OR(D91="",B91=""),"",IF(F91&lt;&gt;"",F91,B91+IFERROR(INDEX(Suppliers!$Q$7:$Q$106,MATCH(D91,Suppliers!$B$7:$B$106,0)),Setup!$C$7)))</f>
        <v/>
      </c>
      <c r="I91" s="46" t="str">
        <f aca="false">IF(OR(D91="",C91=""),IF(D91="","",0),SUMIFS(Payments!$D$8:$D$507,Payments!$C$8:$C$507,D91,Payments!$F$8:$F$507,C91))</f>
        <v/>
      </c>
      <c r="J91" s="46" t="str">
        <f aca="false">IF(D91="","",MIN(P91,MAX(0,R91-Q91)))</f>
        <v/>
      </c>
      <c r="K91" s="47" t="str">
        <f aca="false">IF(D91="","",P91-J91)</f>
        <v/>
      </c>
      <c r="L91" s="55" t="str">
        <f aca="false">IF(OR(D91="",N(K91)&lt;=0,H91=""),"",MAX(0,Setup!$C$11-H91))</f>
        <v/>
      </c>
      <c r="M91" s="54" t="str">
        <f aca="false">IF(OR(D91="",B91=""),"",IF(IFERROR(INDEX(Suppliers!$S$7:$S$106,MATCH(D91,Suppliers!$B$7:$B$106,0)),"")="","–",B91+IFERROR(INDEX(Suppliers!$S$7:$S$106,MATCH(D91,Suppliers!$B$7:$B$106,0)),"")))</f>
        <v/>
      </c>
      <c r="N91" s="56" t="str">
        <f aca="false">IF(D91="","",IF(N(K91)&lt;=0,"Paid",IF(AND(ISNUMBER(M91),Setup!$C$11&gt;M91),"⚠ MSME late",IF(N(L91)&gt;0,"Overdue",IF(N(V91)&lt;=Setup!$C$9,"⚠ MSME due soon",IF(K91&lt;E91,"Part paid","Not due"))))))</f>
        <v/>
      </c>
      <c r="O91" s="50" t="str">
        <f aca="false">IF(AND(D91="",B91="",C91="",E91=""),"",IF(D91="","⚠ Pick supplier",IF(ISNA(MATCH(D91,Suppliers!$B$7:$B$106,0)),"⚠ Supplier not in list",IF(B91="","⚠ Enter bill date",IF(N(E91)&lt;=0,"⚠ Enter amount",IF(AND(C91&lt;&gt;"",COUNTIFS($D$8:$D$507,D91,$C$8:$C$507,C91)&gt;1),"⚠ Bill no. used twice",IF(N(I91)&gt;N(E91),"⚠ Paid more than bill","✔")))))))</f>
        <v/>
      </c>
      <c r="P91" s="9" t="n">
        <f aca="false">IF(D91="",0,MAX(0,N(E91)-N(I91)))</f>
        <v>0</v>
      </c>
      <c r="Q91" s="9" t="n">
        <f aca="false">IF(D91="",0,SUMIFS($P$8:$P$507,$D$8:$D$507,D91,$B$8:$B$507,"&lt;"&amp;B91)+SUMIFS($P$8:P90,$D$8:D90,D91,$B$8:B90,B91))</f>
        <v>0</v>
      </c>
      <c r="R91" s="9" t="n">
        <f aca="false">IF(D91="",0,IFERROR(INDEX(Suppliers!$R$7:$R$106,MATCH(D91,Suppliers!$B$7:$B$106,0)),0))</f>
        <v>0</v>
      </c>
      <c r="S91" s="9" t="str">
        <f aca="false">IF(N(K91)&gt;0,IF(H91="",99999,MIN(H91,IF(ISNUMBER(M91),M91,H91)))+ROW()/100000,"")</f>
        <v/>
      </c>
      <c r="U91" s="9" t="n">
        <f aca="false">IF(N(K91)&gt;0,N(L91),0)</f>
        <v>0</v>
      </c>
      <c r="V91" s="9" t="n">
        <f aca="false">IF(AND(N(K91)&gt;0,ISNUMBER(M91)),M91-Setup!$C$11,99999)</f>
        <v>99999</v>
      </c>
    </row>
    <row r="92" customFormat="false" ht="15" hidden="false" customHeight="false" outlineLevel="0" collapsed="false">
      <c r="A92" s="40" t="str">
        <f aca="false">IF(D92="","",ROW()-7)</f>
        <v/>
      </c>
      <c r="B92" s="79"/>
      <c r="C92" s="75"/>
      <c r="D92" s="76"/>
      <c r="E92" s="80"/>
      <c r="F92" s="79"/>
      <c r="G92" s="76"/>
      <c r="H92" s="54" t="str">
        <f aca="false">IF(OR(D92="",B92=""),"",IF(F92&lt;&gt;"",F92,B92+IFERROR(INDEX(Suppliers!$Q$7:$Q$106,MATCH(D92,Suppliers!$B$7:$B$106,0)),Setup!$C$7)))</f>
        <v/>
      </c>
      <c r="I92" s="46" t="str">
        <f aca="false">IF(OR(D92="",C92=""),IF(D92="","",0),SUMIFS(Payments!$D$8:$D$507,Payments!$C$8:$C$507,D92,Payments!$F$8:$F$507,C92))</f>
        <v/>
      </c>
      <c r="J92" s="46" t="str">
        <f aca="false">IF(D92="","",MIN(P92,MAX(0,R92-Q92)))</f>
        <v/>
      </c>
      <c r="K92" s="47" t="str">
        <f aca="false">IF(D92="","",P92-J92)</f>
        <v/>
      </c>
      <c r="L92" s="55" t="str">
        <f aca="false">IF(OR(D92="",N(K92)&lt;=0,H92=""),"",MAX(0,Setup!$C$11-H92))</f>
        <v/>
      </c>
      <c r="M92" s="54" t="str">
        <f aca="false">IF(OR(D92="",B92=""),"",IF(IFERROR(INDEX(Suppliers!$S$7:$S$106,MATCH(D92,Suppliers!$B$7:$B$106,0)),"")="","–",B92+IFERROR(INDEX(Suppliers!$S$7:$S$106,MATCH(D92,Suppliers!$B$7:$B$106,0)),"")))</f>
        <v/>
      </c>
      <c r="N92" s="56" t="str">
        <f aca="false">IF(D92="","",IF(N(K92)&lt;=0,"Paid",IF(AND(ISNUMBER(M92),Setup!$C$11&gt;M92),"⚠ MSME late",IF(N(L92)&gt;0,"Overdue",IF(N(V92)&lt;=Setup!$C$9,"⚠ MSME due soon",IF(K92&lt;E92,"Part paid","Not due"))))))</f>
        <v/>
      </c>
      <c r="O92" s="50" t="str">
        <f aca="false">IF(AND(D92="",B92="",C92="",E92=""),"",IF(D92="","⚠ Pick supplier",IF(ISNA(MATCH(D92,Suppliers!$B$7:$B$106,0)),"⚠ Supplier not in list",IF(B92="","⚠ Enter bill date",IF(N(E92)&lt;=0,"⚠ Enter amount",IF(AND(C92&lt;&gt;"",COUNTIFS($D$8:$D$507,D92,$C$8:$C$507,C92)&gt;1),"⚠ Bill no. used twice",IF(N(I92)&gt;N(E92),"⚠ Paid more than bill","✔")))))))</f>
        <v/>
      </c>
      <c r="P92" s="9" t="n">
        <f aca="false">IF(D92="",0,MAX(0,N(E92)-N(I92)))</f>
        <v>0</v>
      </c>
      <c r="Q92" s="9" t="n">
        <f aca="false">IF(D92="",0,SUMIFS($P$8:$P$507,$D$8:$D$507,D92,$B$8:$B$507,"&lt;"&amp;B92)+SUMIFS($P$8:P91,$D$8:D91,D92,$B$8:B91,B92))</f>
        <v>0</v>
      </c>
      <c r="R92" s="9" t="n">
        <f aca="false">IF(D92="",0,IFERROR(INDEX(Suppliers!$R$7:$R$106,MATCH(D92,Suppliers!$B$7:$B$106,0)),0))</f>
        <v>0</v>
      </c>
      <c r="S92" s="9" t="str">
        <f aca="false">IF(N(K92)&gt;0,IF(H92="",99999,MIN(H92,IF(ISNUMBER(M92),M92,H92)))+ROW()/100000,"")</f>
        <v/>
      </c>
      <c r="U92" s="9" t="n">
        <f aca="false">IF(N(K92)&gt;0,N(L92),0)</f>
        <v>0</v>
      </c>
      <c r="V92" s="9" t="n">
        <f aca="false">IF(AND(N(K92)&gt;0,ISNUMBER(M92)),M92-Setup!$C$11,99999)</f>
        <v>99999</v>
      </c>
    </row>
    <row r="93" customFormat="false" ht="15" hidden="false" customHeight="false" outlineLevel="0" collapsed="false">
      <c r="A93" s="40" t="str">
        <f aca="false">IF(D93="","",ROW()-7)</f>
        <v/>
      </c>
      <c r="B93" s="79"/>
      <c r="C93" s="75"/>
      <c r="D93" s="76"/>
      <c r="E93" s="80"/>
      <c r="F93" s="79"/>
      <c r="G93" s="76"/>
      <c r="H93" s="54" t="str">
        <f aca="false">IF(OR(D93="",B93=""),"",IF(F93&lt;&gt;"",F93,B93+IFERROR(INDEX(Suppliers!$Q$7:$Q$106,MATCH(D93,Suppliers!$B$7:$B$106,0)),Setup!$C$7)))</f>
        <v/>
      </c>
      <c r="I93" s="46" t="str">
        <f aca="false">IF(OR(D93="",C93=""),IF(D93="","",0),SUMIFS(Payments!$D$8:$D$507,Payments!$C$8:$C$507,D93,Payments!$F$8:$F$507,C93))</f>
        <v/>
      </c>
      <c r="J93" s="46" t="str">
        <f aca="false">IF(D93="","",MIN(P93,MAX(0,R93-Q93)))</f>
        <v/>
      </c>
      <c r="K93" s="47" t="str">
        <f aca="false">IF(D93="","",P93-J93)</f>
        <v/>
      </c>
      <c r="L93" s="55" t="str">
        <f aca="false">IF(OR(D93="",N(K93)&lt;=0,H93=""),"",MAX(0,Setup!$C$11-H93))</f>
        <v/>
      </c>
      <c r="M93" s="54" t="str">
        <f aca="false">IF(OR(D93="",B93=""),"",IF(IFERROR(INDEX(Suppliers!$S$7:$S$106,MATCH(D93,Suppliers!$B$7:$B$106,0)),"")="","–",B93+IFERROR(INDEX(Suppliers!$S$7:$S$106,MATCH(D93,Suppliers!$B$7:$B$106,0)),"")))</f>
        <v/>
      </c>
      <c r="N93" s="56" t="str">
        <f aca="false">IF(D93="","",IF(N(K93)&lt;=0,"Paid",IF(AND(ISNUMBER(M93),Setup!$C$11&gt;M93),"⚠ MSME late",IF(N(L93)&gt;0,"Overdue",IF(N(V93)&lt;=Setup!$C$9,"⚠ MSME due soon",IF(K93&lt;E93,"Part paid","Not due"))))))</f>
        <v/>
      </c>
      <c r="O93" s="50" t="str">
        <f aca="false">IF(AND(D93="",B93="",C93="",E93=""),"",IF(D93="","⚠ Pick supplier",IF(ISNA(MATCH(D93,Suppliers!$B$7:$B$106,0)),"⚠ Supplier not in list",IF(B93="","⚠ Enter bill date",IF(N(E93)&lt;=0,"⚠ Enter amount",IF(AND(C93&lt;&gt;"",COUNTIFS($D$8:$D$507,D93,$C$8:$C$507,C93)&gt;1),"⚠ Bill no. used twice",IF(N(I93)&gt;N(E93),"⚠ Paid more than bill","✔")))))))</f>
        <v/>
      </c>
      <c r="P93" s="9" t="n">
        <f aca="false">IF(D93="",0,MAX(0,N(E93)-N(I93)))</f>
        <v>0</v>
      </c>
      <c r="Q93" s="9" t="n">
        <f aca="false">IF(D93="",0,SUMIFS($P$8:$P$507,$D$8:$D$507,D93,$B$8:$B$507,"&lt;"&amp;B93)+SUMIFS($P$8:P92,$D$8:D92,D93,$B$8:B92,B93))</f>
        <v>0</v>
      </c>
      <c r="R93" s="9" t="n">
        <f aca="false">IF(D93="",0,IFERROR(INDEX(Suppliers!$R$7:$R$106,MATCH(D93,Suppliers!$B$7:$B$106,0)),0))</f>
        <v>0</v>
      </c>
      <c r="S93" s="9" t="str">
        <f aca="false">IF(N(K93)&gt;0,IF(H93="",99999,MIN(H93,IF(ISNUMBER(M93),M93,H93)))+ROW()/100000,"")</f>
        <v/>
      </c>
      <c r="U93" s="9" t="n">
        <f aca="false">IF(N(K93)&gt;0,N(L93),0)</f>
        <v>0</v>
      </c>
      <c r="V93" s="9" t="n">
        <f aca="false">IF(AND(N(K93)&gt;0,ISNUMBER(M93)),M93-Setup!$C$11,99999)</f>
        <v>99999</v>
      </c>
    </row>
    <row r="94" customFormat="false" ht="15" hidden="false" customHeight="false" outlineLevel="0" collapsed="false">
      <c r="A94" s="40" t="str">
        <f aca="false">IF(D94="","",ROW()-7)</f>
        <v/>
      </c>
      <c r="B94" s="79"/>
      <c r="C94" s="75"/>
      <c r="D94" s="76"/>
      <c r="E94" s="80"/>
      <c r="F94" s="79"/>
      <c r="G94" s="76"/>
      <c r="H94" s="54" t="str">
        <f aca="false">IF(OR(D94="",B94=""),"",IF(F94&lt;&gt;"",F94,B94+IFERROR(INDEX(Suppliers!$Q$7:$Q$106,MATCH(D94,Suppliers!$B$7:$B$106,0)),Setup!$C$7)))</f>
        <v/>
      </c>
      <c r="I94" s="46" t="str">
        <f aca="false">IF(OR(D94="",C94=""),IF(D94="","",0),SUMIFS(Payments!$D$8:$D$507,Payments!$C$8:$C$507,D94,Payments!$F$8:$F$507,C94))</f>
        <v/>
      </c>
      <c r="J94" s="46" t="str">
        <f aca="false">IF(D94="","",MIN(P94,MAX(0,R94-Q94)))</f>
        <v/>
      </c>
      <c r="K94" s="47" t="str">
        <f aca="false">IF(D94="","",P94-J94)</f>
        <v/>
      </c>
      <c r="L94" s="55" t="str">
        <f aca="false">IF(OR(D94="",N(K94)&lt;=0,H94=""),"",MAX(0,Setup!$C$11-H94))</f>
        <v/>
      </c>
      <c r="M94" s="54" t="str">
        <f aca="false">IF(OR(D94="",B94=""),"",IF(IFERROR(INDEX(Suppliers!$S$7:$S$106,MATCH(D94,Suppliers!$B$7:$B$106,0)),"")="","–",B94+IFERROR(INDEX(Suppliers!$S$7:$S$106,MATCH(D94,Suppliers!$B$7:$B$106,0)),"")))</f>
        <v/>
      </c>
      <c r="N94" s="56" t="str">
        <f aca="false">IF(D94="","",IF(N(K94)&lt;=0,"Paid",IF(AND(ISNUMBER(M94),Setup!$C$11&gt;M94),"⚠ MSME late",IF(N(L94)&gt;0,"Overdue",IF(N(V94)&lt;=Setup!$C$9,"⚠ MSME due soon",IF(K94&lt;E94,"Part paid","Not due"))))))</f>
        <v/>
      </c>
      <c r="O94" s="50" t="str">
        <f aca="false">IF(AND(D94="",B94="",C94="",E94=""),"",IF(D94="","⚠ Pick supplier",IF(ISNA(MATCH(D94,Suppliers!$B$7:$B$106,0)),"⚠ Supplier not in list",IF(B94="","⚠ Enter bill date",IF(N(E94)&lt;=0,"⚠ Enter amount",IF(AND(C94&lt;&gt;"",COUNTIFS($D$8:$D$507,D94,$C$8:$C$507,C94)&gt;1),"⚠ Bill no. used twice",IF(N(I94)&gt;N(E94),"⚠ Paid more than bill","✔")))))))</f>
        <v/>
      </c>
      <c r="P94" s="9" t="n">
        <f aca="false">IF(D94="",0,MAX(0,N(E94)-N(I94)))</f>
        <v>0</v>
      </c>
      <c r="Q94" s="9" t="n">
        <f aca="false">IF(D94="",0,SUMIFS($P$8:$P$507,$D$8:$D$507,D94,$B$8:$B$507,"&lt;"&amp;B94)+SUMIFS($P$8:P93,$D$8:D93,D94,$B$8:B93,B94))</f>
        <v>0</v>
      </c>
      <c r="R94" s="9" t="n">
        <f aca="false">IF(D94="",0,IFERROR(INDEX(Suppliers!$R$7:$R$106,MATCH(D94,Suppliers!$B$7:$B$106,0)),0))</f>
        <v>0</v>
      </c>
      <c r="S94" s="9" t="str">
        <f aca="false">IF(N(K94)&gt;0,IF(H94="",99999,MIN(H94,IF(ISNUMBER(M94),M94,H94)))+ROW()/100000,"")</f>
        <v/>
      </c>
      <c r="U94" s="9" t="n">
        <f aca="false">IF(N(K94)&gt;0,N(L94),0)</f>
        <v>0</v>
      </c>
      <c r="V94" s="9" t="n">
        <f aca="false">IF(AND(N(K94)&gt;0,ISNUMBER(M94)),M94-Setup!$C$11,99999)</f>
        <v>99999</v>
      </c>
    </row>
    <row r="95" customFormat="false" ht="15" hidden="false" customHeight="false" outlineLevel="0" collapsed="false">
      <c r="A95" s="40" t="str">
        <f aca="false">IF(D95="","",ROW()-7)</f>
        <v/>
      </c>
      <c r="B95" s="79"/>
      <c r="C95" s="75"/>
      <c r="D95" s="76"/>
      <c r="E95" s="80"/>
      <c r="F95" s="79"/>
      <c r="G95" s="76"/>
      <c r="H95" s="54" t="str">
        <f aca="false">IF(OR(D95="",B95=""),"",IF(F95&lt;&gt;"",F95,B95+IFERROR(INDEX(Suppliers!$Q$7:$Q$106,MATCH(D95,Suppliers!$B$7:$B$106,0)),Setup!$C$7)))</f>
        <v/>
      </c>
      <c r="I95" s="46" t="str">
        <f aca="false">IF(OR(D95="",C95=""),IF(D95="","",0),SUMIFS(Payments!$D$8:$D$507,Payments!$C$8:$C$507,D95,Payments!$F$8:$F$507,C95))</f>
        <v/>
      </c>
      <c r="J95" s="46" t="str">
        <f aca="false">IF(D95="","",MIN(P95,MAX(0,R95-Q95)))</f>
        <v/>
      </c>
      <c r="K95" s="47" t="str">
        <f aca="false">IF(D95="","",P95-J95)</f>
        <v/>
      </c>
      <c r="L95" s="55" t="str">
        <f aca="false">IF(OR(D95="",N(K95)&lt;=0,H95=""),"",MAX(0,Setup!$C$11-H95))</f>
        <v/>
      </c>
      <c r="M95" s="54" t="str">
        <f aca="false">IF(OR(D95="",B95=""),"",IF(IFERROR(INDEX(Suppliers!$S$7:$S$106,MATCH(D95,Suppliers!$B$7:$B$106,0)),"")="","–",B95+IFERROR(INDEX(Suppliers!$S$7:$S$106,MATCH(D95,Suppliers!$B$7:$B$106,0)),"")))</f>
        <v/>
      </c>
      <c r="N95" s="56" t="str">
        <f aca="false">IF(D95="","",IF(N(K95)&lt;=0,"Paid",IF(AND(ISNUMBER(M95),Setup!$C$11&gt;M95),"⚠ MSME late",IF(N(L95)&gt;0,"Overdue",IF(N(V95)&lt;=Setup!$C$9,"⚠ MSME due soon",IF(K95&lt;E95,"Part paid","Not due"))))))</f>
        <v/>
      </c>
      <c r="O95" s="50" t="str">
        <f aca="false">IF(AND(D95="",B95="",C95="",E95=""),"",IF(D95="","⚠ Pick supplier",IF(ISNA(MATCH(D95,Suppliers!$B$7:$B$106,0)),"⚠ Supplier not in list",IF(B95="","⚠ Enter bill date",IF(N(E95)&lt;=0,"⚠ Enter amount",IF(AND(C95&lt;&gt;"",COUNTIFS($D$8:$D$507,D95,$C$8:$C$507,C95)&gt;1),"⚠ Bill no. used twice",IF(N(I95)&gt;N(E95),"⚠ Paid more than bill","✔")))))))</f>
        <v/>
      </c>
      <c r="P95" s="9" t="n">
        <f aca="false">IF(D95="",0,MAX(0,N(E95)-N(I95)))</f>
        <v>0</v>
      </c>
      <c r="Q95" s="9" t="n">
        <f aca="false">IF(D95="",0,SUMIFS($P$8:$P$507,$D$8:$D$507,D95,$B$8:$B$507,"&lt;"&amp;B95)+SUMIFS($P$8:P94,$D$8:D94,D95,$B$8:B94,B95))</f>
        <v>0</v>
      </c>
      <c r="R95" s="9" t="n">
        <f aca="false">IF(D95="",0,IFERROR(INDEX(Suppliers!$R$7:$R$106,MATCH(D95,Suppliers!$B$7:$B$106,0)),0))</f>
        <v>0</v>
      </c>
      <c r="S95" s="9" t="str">
        <f aca="false">IF(N(K95)&gt;0,IF(H95="",99999,MIN(H95,IF(ISNUMBER(M95),M95,H95)))+ROW()/100000,"")</f>
        <v/>
      </c>
      <c r="U95" s="9" t="n">
        <f aca="false">IF(N(K95)&gt;0,N(L95),0)</f>
        <v>0</v>
      </c>
      <c r="V95" s="9" t="n">
        <f aca="false">IF(AND(N(K95)&gt;0,ISNUMBER(M95)),M95-Setup!$C$11,99999)</f>
        <v>99999</v>
      </c>
    </row>
    <row r="96" customFormat="false" ht="15" hidden="false" customHeight="false" outlineLevel="0" collapsed="false">
      <c r="A96" s="40" t="str">
        <f aca="false">IF(D96="","",ROW()-7)</f>
        <v/>
      </c>
      <c r="B96" s="79"/>
      <c r="C96" s="75"/>
      <c r="D96" s="76"/>
      <c r="E96" s="80"/>
      <c r="F96" s="79"/>
      <c r="G96" s="76"/>
      <c r="H96" s="54" t="str">
        <f aca="false">IF(OR(D96="",B96=""),"",IF(F96&lt;&gt;"",F96,B96+IFERROR(INDEX(Suppliers!$Q$7:$Q$106,MATCH(D96,Suppliers!$B$7:$B$106,0)),Setup!$C$7)))</f>
        <v/>
      </c>
      <c r="I96" s="46" t="str">
        <f aca="false">IF(OR(D96="",C96=""),IF(D96="","",0),SUMIFS(Payments!$D$8:$D$507,Payments!$C$8:$C$507,D96,Payments!$F$8:$F$507,C96))</f>
        <v/>
      </c>
      <c r="J96" s="46" t="str">
        <f aca="false">IF(D96="","",MIN(P96,MAX(0,R96-Q96)))</f>
        <v/>
      </c>
      <c r="K96" s="47" t="str">
        <f aca="false">IF(D96="","",P96-J96)</f>
        <v/>
      </c>
      <c r="L96" s="55" t="str">
        <f aca="false">IF(OR(D96="",N(K96)&lt;=0,H96=""),"",MAX(0,Setup!$C$11-H96))</f>
        <v/>
      </c>
      <c r="M96" s="54" t="str">
        <f aca="false">IF(OR(D96="",B96=""),"",IF(IFERROR(INDEX(Suppliers!$S$7:$S$106,MATCH(D96,Suppliers!$B$7:$B$106,0)),"")="","–",B96+IFERROR(INDEX(Suppliers!$S$7:$S$106,MATCH(D96,Suppliers!$B$7:$B$106,0)),"")))</f>
        <v/>
      </c>
      <c r="N96" s="56" t="str">
        <f aca="false">IF(D96="","",IF(N(K96)&lt;=0,"Paid",IF(AND(ISNUMBER(M96),Setup!$C$11&gt;M96),"⚠ MSME late",IF(N(L96)&gt;0,"Overdue",IF(N(V96)&lt;=Setup!$C$9,"⚠ MSME due soon",IF(K96&lt;E96,"Part paid","Not due"))))))</f>
        <v/>
      </c>
      <c r="O96" s="50" t="str">
        <f aca="false">IF(AND(D96="",B96="",C96="",E96=""),"",IF(D96="","⚠ Pick supplier",IF(ISNA(MATCH(D96,Suppliers!$B$7:$B$106,0)),"⚠ Supplier not in list",IF(B96="","⚠ Enter bill date",IF(N(E96)&lt;=0,"⚠ Enter amount",IF(AND(C96&lt;&gt;"",COUNTIFS($D$8:$D$507,D96,$C$8:$C$507,C96)&gt;1),"⚠ Bill no. used twice",IF(N(I96)&gt;N(E96),"⚠ Paid more than bill","✔")))))))</f>
        <v/>
      </c>
      <c r="P96" s="9" t="n">
        <f aca="false">IF(D96="",0,MAX(0,N(E96)-N(I96)))</f>
        <v>0</v>
      </c>
      <c r="Q96" s="9" t="n">
        <f aca="false">IF(D96="",0,SUMIFS($P$8:$P$507,$D$8:$D$507,D96,$B$8:$B$507,"&lt;"&amp;B96)+SUMIFS($P$8:P95,$D$8:D95,D96,$B$8:B95,B96))</f>
        <v>0</v>
      </c>
      <c r="R96" s="9" t="n">
        <f aca="false">IF(D96="",0,IFERROR(INDEX(Suppliers!$R$7:$R$106,MATCH(D96,Suppliers!$B$7:$B$106,0)),0))</f>
        <v>0</v>
      </c>
      <c r="S96" s="9" t="str">
        <f aca="false">IF(N(K96)&gt;0,IF(H96="",99999,MIN(H96,IF(ISNUMBER(M96),M96,H96)))+ROW()/100000,"")</f>
        <v/>
      </c>
      <c r="U96" s="9" t="n">
        <f aca="false">IF(N(K96)&gt;0,N(L96),0)</f>
        <v>0</v>
      </c>
      <c r="V96" s="9" t="n">
        <f aca="false">IF(AND(N(K96)&gt;0,ISNUMBER(M96)),M96-Setup!$C$11,99999)</f>
        <v>99999</v>
      </c>
    </row>
    <row r="97" customFormat="false" ht="15" hidden="false" customHeight="false" outlineLevel="0" collapsed="false">
      <c r="A97" s="40" t="str">
        <f aca="false">IF(D97="","",ROW()-7)</f>
        <v/>
      </c>
      <c r="B97" s="79"/>
      <c r="C97" s="75"/>
      <c r="D97" s="76"/>
      <c r="E97" s="80"/>
      <c r="F97" s="79"/>
      <c r="G97" s="76"/>
      <c r="H97" s="54" t="str">
        <f aca="false">IF(OR(D97="",B97=""),"",IF(F97&lt;&gt;"",F97,B97+IFERROR(INDEX(Suppliers!$Q$7:$Q$106,MATCH(D97,Suppliers!$B$7:$B$106,0)),Setup!$C$7)))</f>
        <v/>
      </c>
      <c r="I97" s="46" t="str">
        <f aca="false">IF(OR(D97="",C97=""),IF(D97="","",0),SUMIFS(Payments!$D$8:$D$507,Payments!$C$8:$C$507,D97,Payments!$F$8:$F$507,C97))</f>
        <v/>
      </c>
      <c r="J97" s="46" t="str">
        <f aca="false">IF(D97="","",MIN(P97,MAX(0,R97-Q97)))</f>
        <v/>
      </c>
      <c r="K97" s="47" t="str">
        <f aca="false">IF(D97="","",P97-J97)</f>
        <v/>
      </c>
      <c r="L97" s="55" t="str">
        <f aca="false">IF(OR(D97="",N(K97)&lt;=0,H97=""),"",MAX(0,Setup!$C$11-H97))</f>
        <v/>
      </c>
      <c r="M97" s="54" t="str">
        <f aca="false">IF(OR(D97="",B97=""),"",IF(IFERROR(INDEX(Suppliers!$S$7:$S$106,MATCH(D97,Suppliers!$B$7:$B$106,0)),"")="","–",B97+IFERROR(INDEX(Suppliers!$S$7:$S$106,MATCH(D97,Suppliers!$B$7:$B$106,0)),"")))</f>
        <v/>
      </c>
      <c r="N97" s="56" t="str">
        <f aca="false">IF(D97="","",IF(N(K97)&lt;=0,"Paid",IF(AND(ISNUMBER(M97),Setup!$C$11&gt;M97),"⚠ MSME late",IF(N(L97)&gt;0,"Overdue",IF(N(V97)&lt;=Setup!$C$9,"⚠ MSME due soon",IF(K97&lt;E97,"Part paid","Not due"))))))</f>
        <v/>
      </c>
      <c r="O97" s="50" t="str">
        <f aca="false">IF(AND(D97="",B97="",C97="",E97=""),"",IF(D97="","⚠ Pick supplier",IF(ISNA(MATCH(D97,Suppliers!$B$7:$B$106,0)),"⚠ Supplier not in list",IF(B97="","⚠ Enter bill date",IF(N(E97)&lt;=0,"⚠ Enter amount",IF(AND(C97&lt;&gt;"",COUNTIFS($D$8:$D$507,D97,$C$8:$C$507,C97)&gt;1),"⚠ Bill no. used twice",IF(N(I97)&gt;N(E97),"⚠ Paid more than bill","✔")))))))</f>
        <v/>
      </c>
      <c r="P97" s="9" t="n">
        <f aca="false">IF(D97="",0,MAX(0,N(E97)-N(I97)))</f>
        <v>0</v>
      </c>
      <c r="Q97" s="9" t="n">
        <f aca="false">IF(D97="",0,SUMIFS($P$8:$P$507,$D$8:$D$507,D97,$B$8:$B$507,"&lt;"&amp;B97)+SUMIFS($P$8:P96,$D$8:D96,D97,$B$8:B96,B97))</f>
        <v>0</v>
      </c>
      <c r="R97" s="9" t="n">
        <f aca="false">IF(D97="",0,IFERROR(INDEX(Suppliers!$R$7:$R$106,MATCH(D97,Suppliers!$B$7:$B$106,0)),0))</f>
        <v>0</v>
      </c>
      <c r="S97" s="9" t="str">
        <f aca="false">IF(N(K97)&gt;0,IF(H97="",99999,MIN(H97,IF(ISNUMBER(M97),M97,H97)))+ROW()/100000,"")</f>
        <v/>
      </c>
      <c r="U97" s="9" t="n">
        <f aca="false">IF(N(K97)&gt;0,N(L97),0)</f>
        <v>0</v>
      </c>
      <c r="V97" s="9" t="n">
        <f aca="false">IF(AND(N(K97)&gt;0,ISNUMBER(M97)),M97-Setup!$C$11,99999)</f>
        <v>99999</v>
      </c>
    </row>
    <row r="98" customFormat="false" ht="15" hidden="false" customHeight="false" outlineLevel="0" collapsed="false">
      <c r="A98" s="40" t="str">
        <f aca="false">IF(D98="","",ROW()-7)</f>
        <v/>
      </c>
      <c r="B98" s="79"/>
      <c r="C98" s="75"/>
      <c r="D98" s="76"/>
      <c r="E98" s="80"/>
      <c r="F98" s="79"/>
      <c r="G98" s="76"/>
      <c r="H98" s="54" t="str">
        <f aca="false">IF(OR(D98="",B98=""),"",IF(F98&lt;&gt;"",F98,B98+IFERROR(INDEX(Suppliers!$Q$7:$Q$106,MATCH(D98,Suppliers!$B$7:$B$106,0)),Setup!$C$7)))</f>
        <v/>
      </c>
      <c r="I98" s="46" t="str">
        <f aca="false">IF(OR(D98="",C98=""),IF(D98="","",0),SUMIFS(Payments!$D$8:$D$507,Payments!$C$8:$C$507,D98,Payments!$F$8:$F$507,C98))</f>
        <v/>
      </c>
      <c r="J98" s="46" t="str">
        <f aca="false">IF(D98="","",MIN(P98,MAX(0,R98-Q98)))</f>
        <v/>
      </c>
      <c r="K98" s="47" t="str">
        <f aca="false">IF(D98="","",P98-J98)</f>
        <v/>
      </c>
      <c r="L98" s="55" t="str">
        <f aca="false">IF(OR(D98="",N(K98)&lt;=0,H98=""),"",MAX(0,Setup!$C$11-H98))</f>
        <v/>
      </c>
      <c r="M98" s="54" t="str">
        <f aca="false">IF(OR(D98="",B98=""),"",IF(IFERROR(INDEX(Suppliers!$S$7:$S$106,MATCH(D98,Suppliers!$B$7:$B$106,0)),"")="","–",B98+IFERROR(INDEX(Suppliers!$S$7:$S$106,MATCH(D98,Suppliers!$B$7:$B$106,0)),"")))</f>
        <v/>
      </c>
      <c r="N98" s="56" t="str">
        <f aca="false">IF(D98="","",IF(N(K98)&lt;=0,"Paid",IF(AND(ISNUMBER(M98),Setup!$C$11&gt;M98),"⚠ MSME late",IF(N(L98)&gt;0,"Overdue",IF(N(V98)&lt;=Setup!$C$9,"⚠ MSME due soon",IF(K98&lt;E98,"Part paid","Not due"))))))</f>
        <v/>
      </c>
      <c r="O98" s="50" t="str">
        <f aca="false">IF(AND(D98="",B98="",C98="",E98=""),"",IF(D98="","⚠ Pick supplier",IF(ISNA(MATCH(D98,Suppliers!$B$7:$B$106,0)),"⚠ Supplier not in list",IF(B98="","⚠ Enter bill date",IF(N(E98)&lt;=0,"⚠ Enter amount",IF(AND(C98&lt;&gt;"",COUNTIFS($D$8:$D$507,D98,$C$8:$C$507,C98)&gt;1),"⚠ Bill no. used twice",IF(N(I98)&gt;N(E98),"⚠ Paid more than bill","✔")))))))</f>
        <v/>
      </c>
      <c r="P98" s="9" t="n">
        <f aca="false">IF(D98="",0,MAX(0,N(E98)-N(I98)))</f>
        <v>0</v>
      </c>
      <c r="Q98" s="9" t="n">
        <f aca="false">IF(D98="",0,SUMIFS($P$8:$P$507,$D$8:$D$507,D98,$B$8:$B$507,"&lt;"&amp;B98)+SUMIFS($P$8:P97,$D$8:D97,D98,$B$8:B97,B98))</f>
        <v>0</v>
      </c>
      <c r="R98" s="9" t="n">
        <f aca="false">IF(D98="",0,IFERROR(INDEX(Suppliers!$R$7:$R$106,MATCH(D98,Suppliers!$B$7:$B$106,0)),0))</f>
        <v>0</v>
      </c>
      <c r="S98" s="9" t="str">
        <f aca="false">IF(N(K98)&gt;0,IF(H98="",99999,MIN(H98,IF(ISNUMBER(M98),M98,H98)))+ROW()/100000,"")</f>
        <v/>
      </c>
      <c r="U98" s="9" t="n">
        <f aca="false">IF(N(K98)&gt;0,N(L98),0)</f>
        <v>0</v>
      </c>
      <c r="V98" s="9" t="n">
        <f aca="false">IF(AND(N(K98)&gt;0,ISNUMBER(M98)),M98-Setup!$C$11,99999)</f>
        <v>99999</v>
      </c>
    </row>
    <row r="99" customFormat="false" ht="15" hidden="false" customHeight="false" outlineLevel="0" collapsed="false">
      <c r="A99" s="40" t="str">
        <f aca="false">IF(D99="","",ROW()-7)</f>
        <v/>
      </c>
      <c r="B99" s="79"/>
      <c r="C99" s="75"/>
      <c r="D99" s="76"/>
      <c r="E99" s="80"/>
      <c r="F99" s="79"/>
      <c r="G99" s="76"/>
      <c r="H99" s="54" t="str">
        <f aca="false">IF(OR(D99="",B99=""),"",IF(F99&lt;&gt;"",F99,B99+IFERROR(INDEX(Suppliers!$Q$7:$Q$106,MATCH(D99,Suppliers!$B$7:$B$106,0)),Setup!$C$7)))</f>
        <v/>
      </c>
      <c r="I99" s="46" t="str">
        <f aca="false">IF(OR(D99="",C99=""),IF(D99="","",0),SUMIFS(Payments!$D$8:$D$507,Payments!$C$8:$C$507,D99,Payments!$F$8:$F$507,C99))</f>
        <v/>
      </c>
      <c r="J99" s="46" t="str">
        <f aca="false">IF(D99="","",MIN(P99,MAX(0,R99-Q99)))</f>
        <v/>
      </c>
      <c r="K99" s="47" t="str">
        <f aca="false">IF(D99="","",P99-J99)</f>
        <v/>
      </c>
      <c r="L99" s="55" t="str">
        <f aca="false">IF(OR(D99="",N(K99)&lt;=0,H99=""),"",MAX(0,Setup!$C$11-H99))</f>
        <v/>
      </c>
      <c r="M99" s="54" t="str">
        <f aca="false">IF(OR(D99="",B99=""),"",IF(IFERROR(INDEX(Suppliers!$S$7:$S$106,MATCH(D99,Suppliers!$B$7:$B$106,0)),"")="","–",B99+IFERROR(INDEX(Suppliers!$S$7:$S$106,MATCH(D99,Suppliers!$B$7:$B$106,0)),"")))</f>
        <v/>
      </c>
      <c r="N99" s="56" t="str">
        <f aca="false">IF(D99="","",IF(N(K99)&lt;=0,"Paid",IF(AND(ISNUMBER(M99),Setup!$C$11&gt;M99),"⚠ MSME late",IF(N(L99)&gt;0,"Overdue",IF(N(V99)&lt;=Setup!$C$9,"⚠ MSME due soon",IF(K99&lt;E99,"Part paid","Not due"))))))</f>
        <v/>
      </c>
      <c r="O99" s="50" t="str">
        <f aca="false">IF(AND(D99="",B99="",C99="",E99=""),"",IF(D99="","⚠ Pick supplier",IF(ISNA(MATCH(D99,Suppliers!$B$7:$B$106,0)),"⚠ Supplier not in list",IF(B99="","⚠ Enter bill date",IF(N(E99)&lt;=0,"⚠ Enter amount",IF(AND(C99&lt;&gt;"",COUNTIFS($D$8:$D$507,D99,$C$8:$C$507,C99)&gt;1),"⚠ Bill no. used twice",IF(N(I99)&gt;N(E99),"⚠ Paid more than bill","✔")))))))</f>
        <v/>
      </c>
      <c r="P99" s="9" t="n">
        <f aca="false">IF(D99="",0,MAX(0,N(E99)-N(I99)))</f>
        <v>0</v>
      </c>
      <c r="Q99" s="9" t="n">
        <f aca="false">IF(D99="",0,SUMIFS($P$8:$P$507,$D$8:$D$507,D99,$B$8:$B$507,"&lt;"&amp;B99)+SUMIFS($P$8:P98,$D$8:D98,D99,$B$8:B98,B99))</f>
        <v>0</v>
      </c>
      <c r="R99" s="9" t="n">
        <f aca="false">IF(D99="",0,IFERROR(INDEX(Suppliers!$R$7:$R$106,MATCH(D99,Suppliers!$B$7:$B$106,0)),0))</f>
        <v>0</v>
      </c>
      <c r="S99" s="9" t="str">
        <f aca="false">IF(N(K99)&gt;0,IF(H99="",99999,MIN(H99,IF(ISNUMBER(M99),M99,H99)))+ROW()/100000,"")</f>
        <v/>
      </c>
      <c r="U99" s="9" t="n">
        <f aca="false">IF(N(K99)&gt;0,N(L99),0)</f>
        <v>0</v>
      </c>
      <c r="V99" s="9" t="n">
        <f aca="false">IF(AND(N(K99)&gt;0,ISNUMBER(M99)),M99-Setup!$C$11,99999)</f>
        <v>99999</v>
      </c>
    </row>
    <row r="100" customFormat="false" ht="15" hidden="false" customHeight="false" outlineLevel="0" collapsed="false">
      <c r="A100" s="40" t="str">
        <f aca="false">IF(D100="","",ROW()-7)</f>
        <v/>
      </c>
      <c r="B100" s="79"/>
      <c r="C100" s="75"/>
      <c r="D100" s="76"/>
      <c r="E100" s="80"/>
      <c r="F100" s="79"/>
      <c r="G100" s="76"/>
      <c r="H100" s="54" t="str">
        <f aca="false">IF(OR(D100="",B100=""),"",IF(F100&lt;&gt;"",F100,B100+IFERROR(INDEX(Suppliers!$Q$7:$Q$106,MATCH(D100,Suppliers!$B$7:$B$106,0)),Setup!$C$7)))</f>
        <v/>
      </c>
      <c r="I100" s="46" t="str">
        <f aca="false">IF(OR(D100="",C100=""),IF(D100="","",0),SUMIFS(Payments!$D$8:$D$507,Payments!$C$8:$C$507,D100,Payments!$F$8:$F$507,C100))</f>
        <v/>
      </c>
      <c r="J100" s="46" t="str">
        <f aca="false">IF(D100="","",MIN(P100,MAX(0,R100-Q100)))</f>
        <v/>
      </c>
      <c r="K100" s="47" t="str">
        <f aca="false">IF(D100="","",P100-J100)</f>
        <v/>
      </c>
      <c r="L100" s="55" t="str">
        <f aca="false">IF(OR(D100="",N(K100)&lt;=0,H100=""),"",MAX(0,Setup!$C$11-H100))</f>
        <v/>
      </c>
      <c r="M100" s="54" t="str">
        <f aca="false">IF(OR(D100="",B100=""),"",IF(IFERROR(INDEX(Suppliers!$S$7:$S$106,MATCH(D100,Suppliers!$B$7:$B$106,0)),"")="","–",B100+IFERROR(INDEX(Suppliers!$S$7:$S$106,MATCH(D100,Suppliers!$B$7:$B$106,0)),"")))</f>
        <v/>
      </c>
      <c r="N100" s="56" t="str">
        <f aca="false">IF(D100="","",IF(N(K100)&lt;=0,"Paid",IF(AND(ISNUMBER(M100),Setup!$C$11&gt;M100),"⚠ MSME late",IF(N(L100)&gt;0,"Overdue",IF(N(V100)&lt;=Setup!$C$9,"⚠ MSME due soon",IF(K100&lt;E100,"Part paid","Not due"))))))</f>
        <v/>
      </c>
      <c r="O100" s="50" t="str">
        <f aca="false">IF(AND(D100="",B100="",C100="",E100=""),"",IF(D100="","⚠ Pick supplier",IF(ISNA(MATCH(D100,Suppliers!$B$7:$B$106,0)),"⚠ Supplier not in list",IF(B100="","⚠ Enter bill date",IF(N(E100)&lt;=0,"⚠ Enter amount",IF(AND(C100&lt;&gt;"",COUNTIFS($D$8:$D$507,D100,$C$8:$C$507,C100)&gt;1),"⚠ Bill no. used twice",IF(N(I100)&gt;N(E100),"⚠ Paid more than bill","✔")))))))</f>
        <v/>
      </c>
      <c r="P100" s="9" t="n">
        <f aca="false">IF(D100="",0,MAX(0,N(E100)-N(I100)))</f>
        <v>0</v>
      </c>
      <c r="Q100" s="9" t="n">
        <f aca="false">IF(D100="",0,SUMIFS($P$8:$P$507,$D$8:$D$507,D100,$B$8:$B$507,"&lt;"&amp;B100)+SUMIFS($P$8:P99,$D$8:D99,D100,$B$8:B99,B100))</f>
        <v>0</v>
      </c>
      <c r="R100" s="9" t="n">
        <f aca="false">IF(D100="",0,IFERROR(INDEX(Suppliers!$R$7:$R$106,MATCH(D100,Suppliers!$B$7:$B$106,0)),0))</f>
        <v>0</v>
      </c>
      <c r="S100" s="9" t="str">
        <f aca="false">IF(N(K100)&gt;0,IF(H100="",99999,MIN(H100,IF(ISNUMBER(M100),M100,H100)))+ROW()/100000,"")</f>
        <v/>
      </c>
      <c r="U100" s="9" t="n">
        <f aca="false">IF(N(K100)&gt;0,N(L100),0)</f>
        <v>0</v>
      </c>
      <c r="V100" s="9" t="n">
        <f aca="false">IF(AND(N(K100)&gt;0,ISNUMBER(M100)),M100-Setup!$C$11,99999)</f>
        <v>99999</v>
      </c>
    </row>
    <row r="101" customFormat="false" ht="15" hidden="false" customHeight="false" outlineLevel="0" collapsed="false">
      <c r="A101" s="40" t="str">
        <f aca="false">IF(D101="","",ROW()-7)</f>
        <v/>
      </c>
      <c r="B101" s="79"/>
      <c r="C101" s="75"/>
      <c r="D101" s="76"/>
      <c r="E101" s="80"/>
      <c r="F101" s="79"/>
      <c r="G101" s="76"/>
      <c r="H101" s="54" t="str">
        <f aca="false">IF(OR(D101="",B101=""),"",IF(F101&lt;&gt;"",F101,B101+IFERROR(INDEX(Suppliers!$Q$7:$Q$106,MATCH(D101,Suppliers!$B$7:$B$106,0)),Setup!$C$7)))</f>
        <v/>
      </c>
      <c r="I101" s="46" t="str">
        <f aca="false">IF(OR(D101="",C101=""),IF(D101="","",0),SUMIFS(Payments!$D$8:$D$507,Payments!$C$8:$C$507,D101,Payments!$F$8:$F$507,C101))</f>
        <v/>
      </c>
      <c r="J101" s="46" t="str">
        <f aca="false">IF(D101="","",MIN(P101,MAX(0,R101-Q101)))</f>
        <v/>
      </c>
      <c r="K101" s="47" t="str">
        <f aca="false">IF(D101="","",P101-J101)</f>
        <v/>
      </c>
      <c r="L101" s="55" t="str">
        <f aca="false">IF(OR(D101="",N(K101)&lt;=0,H101=""),"",MAX(0,Setup!$C$11-H101))</f>
        <v/>
      </c>
      <c r="M101" s="54" t="str">
        <f aca="false">IF(OR(D101="",B101=""),"",IF(IFERROR(INDEX(Suppliers!$S$7:$S$106,MATCH(D101,Suppliers!$B$7:$B$106,0)),"")="","–",B101+IFERROR(INDEX(Suppliers!$S$7:$S$106,MATCH(D101,Suppliers!$B$7:$B$106,0)),"")))</f>
        <v/>
      </c>
      <c r="N101" s="56" t="str">
        <f aca="false">IF(D101="","",IF(N(K101)&lt;=0,"Paid",IF(AND(ISNUMBER(M101),Setup!$C$11&gt;M101),"⚠ MSME late",IF(N(L101)&gt;0,"Overdue",IF(N(V101)&lt;=Setup!$C$9,"⚠ MSME due soon",IF(K101&lt;E101,"Part paid","Not due"))))))</f>
        <v/>
      </c>
      <c r="O101" s="50" t="str">
        <f aca="false">IF(AND(D101="",B101="",C101="",E101=""),"",IF(D101="","⚠ Pick supplier",IF(ISNA(MATCH(D101,Suppliers!$B$7:$B$106,0)),"⚠ Supplier not in list",IF(B101="","⚠ Enter bill date",IF(N(E101)&lt;=0,"⚠ Enter amount",IF(AND(C101&lt;&gt;"",COUNTIFS($D$8:$D$507,D101,$C$8:$C$507,C101)&gt;1),"⚠ Bill no. used twice",IF(N(I101)&gt;N(E101),"⚠ Paid more than bill","✔")))))))</f>
        <v/>
      </c>
      <c r="P101" s="9" t="n">
        <f aca="false">IF(D101="",0,MAX(0,N(E101)-N(I101)))</f>
        <v>0</v>
      </c>
      <c r="Q101" s="9" t="n">
        <f aca="false">IF(D101="",0,SUMIFS($P$8:$P$507,$D$8:$D$507,D101,$B$8:$B$507,"&lt;"&amp;B101)+SUMIFS($P$8:P100,$D$8:D100,D101,$B$8:B100,B101))</f>
        <v>0</v>
      </c>
      <c r="R101" s="9" t="n">
        <f aca="false">IF(D101="",0,IFERROR(INDEX(Suppliers!$R$7:$R$106,MATCH(D101,Suppliers!$B$7:$B$106,0)),0))</f>
        <v>0</v>
      </c>
      <c r="S101" s="9" t="str">
        <f aca="false">IF(N(K101)&gt;0,IF(H101="",99999,MIN(H101,IF(ISNUMBER(M101),M101,H101)))+ROW()/100000,"")</f>
        <v/>
      </c>
      <c r="U101" s="9" t="n">
        <f aca="false">IF(N(K101)&gt;0,N(L101),0)</f>
        <v>0</v>
      </c>
      <c r="V101" s="9" t="n">
        <f aca="false">IF(AND(N(K101)&gt;0,ISNUMBER(M101)),M101-Setup!$C$11,99999)</f>
        <v>99999</v>
      </c>
    </row>
    <row r="102" customFormat="false" ht="15" hidden="false" customHeight="false" outlineLevel="0" collapsed="false">
      <c r="A102" s="40" t="str">
        <f aca="false">IF(D102="","",ROW()-7)</f>
        <v/>
      </c>
      <c r="B102" s="79"/>
      <c r="C102" s="75"/>
      <c r="D102" s="76"/>
      <c r="E102" s="80"/>
      <c r="F102" s="79"/>
      <c r="G102" s="76"/>
      <c r="H102" s="54" t="str">
        <f aca="false">IF(OR(D102="",B102=""),"",IF(F102&lt;&gt;"",F102,B102+IFERROR(INDEX(Suppliers!$Q$7:$Q$106,MATCH(D102,Suppliers!$B$7:$B$106,0)),Setup!$C$7)))</f>
        <v/>
      </c>
      <c r="I102" s="46" t="str">
        <f aca="false">IF(OR(D102="",C102=""),IF(D102="","",0),SUMIFS(Payments!$D$8:$D$507,Payments!$C$8:$C$507,D102,Payments!$F$8:$F$507,C102))</f>
        <v/>
      </c>
      <c r="J102" s="46" t="str">
        <f aca="false">IF(D102="","",MIN(P102,MAX(0,R102-Q102)))</f>
        <v/>
      </c>
      <c r="K102" s="47" t="str">
        <f aca="false">IF(D102="","",P102-J102)</f>
        <v/>
      </c>
      <c r="L102" s="55" t="str">
        <f aca="false">IF(OR(D102="",N(K102)&lt;=0,H102=""),"",MAX(0,Setup!$C$11-H102))</f>
        <v/>
      </c>
      <c r="M102" s="54" t="str">
        <f aca="false">IF(OR(D102="",B102=""),"",IF(IFERROR(INDEX(Suppliers!$S$7:$S$106,MATCH(D102,Suppliers!$B$7:$B$106,0)),"")="","–",B102+IFERROR(INDEX(Suppliers!$S$7:$S$106,MATCH(D102,Suppliers!$B$7:$B$106,0)),"")))</f>
        <v/>
      </c>
      <c r="N102" s="56" t="str">
        <f aca="false">IF(D102="","",IF(N(K102)&lt;=0,"Paid",IF(AND(ISNUMBER(M102),Setup!$C$11&gt;M102),"⚠ MSME late",IF(N(L102)&gt;0,"Overdue",IF(N(V102)&lt;=Setup!$C$9,"⚠ MSME due soon",IF(K102&lt;E102,"Part paid","Not due"))))))</f>
        <v/>
      </c>
      <c r="O102" s="50" t="str">
        <f aca="false">IF(AND(D102="",B102="",C102="",E102=""),"",IF(D102="","⚠ Pick supplier",IF(ISNA(MATCH(D102,Suppliers!$B$7:$B$106,0)),"⚠ Supplier not in list",IF(B102="","⚠ Enter bill date",IF(N(E102)&lt;=0,"⚠ Enter amount",IF(AND(C102&lt;&gt;"",COUNTIFS($D$8:$D$507,D102,$C$8:$C$507,C102)&gt;1),"⚠ Bill no. used twice",IF(N(I102)&gt;N(E102),"⚠ Paid more than bill","✔")))))))</f>
        <v/>
      </c>
      <c r="P102" s="9" t="n">
        <f aca="false">IF(D102="",0,MAX(0,N(E102)-N(I102)))</f>
        <v>0</v>
      </c>
      <c r="Q102" s="9" t="n">
        <f aca="false">IF(D102="",0,SUMIFS($P$8:$P$507,$D$8:$D$507,D102,$B$8:$B$507,"&lt;"&amp;B102)+SUMIFS($P$8:P101,$D$8:D101,D102,$B$8:B101,B102))</f>
        <v>0</v>
      </c>
      <c r="R102" s="9" t="n">
        <f aca="false">IF(D102="",0,IFERROR(INDEX(Suppliers!$R$7:$R$106,MATCH(D102,Suppliers!$B$7:$B$106,0)),0))</f>
        <v>0</v>
      </c>
      <c r="S102" s="9" t="str">
        <f aca="false">IF(N(K102)&gt;0,IF(H102="",99999,MIN(H102,IF(ISNUMBER(M102),M102,H102)))+ROW()/100000,"")</f>
        <v/>
      </c>
      <c r="U102" s="9" t="n">
        <f aca="false">IF(N(K102)&gt;0,N(L102),0)</f>
        <v>0</v>
      </c>
      <c r="V102" s="9" t="n">
        <f aca="false">IF(AND(N(K102)&gt;0,ISNUMBER(M102)),M102-Setup!$C$11,99999)</f>
        <v>99999</v>
      </c>
    </row>
    <row r="103" customFormat="false" ht="15" hidden="false" customHeight="false" outlineLevel="0" collapsed="false">
      <c r="A103" s="40" t="str">
        <f aca="false">IF(D103="","",ROW()-7)</f>
        <v/>
      </c>
      <c r="B103" s="79"/>
      <c r="C103" s="75"/>
      <c r="D103" s="76"/>
      <c r="E103" s="80"/>
      <c r="F103" s="79"/>
      <c r="G103" s="76"/>
      <c r="H103" s="54" t="str">
        <f aca="false">IF(OR(D103="",B103=""),"",IF(F103&lt;&gt;"",F103,B103+IFERROR(INDEX(Suppliers!$Q$7:$Q$106,MATCH(D103,Suppliers!$B$7:$B$106,0)),Setup!$C$7)))</f>
        <v/>
      </c>
      <c r="I103" s="46" t="str">
        <f aca="false">IF(OR(D103="",C103=""),IF(D103="","",0),SUMIFS(Payments!$D$8:$D$507,Payments!$C$8:$C$507,D103,Payments!$F$8:$F$507,C103))</f>
        <v/>
      </c>
      <c r="J103" s="46" t="str">
        <f aca="false">IF(D103="","",MIN(P103,MAX(0,R103-Q103)))</f>
        <v/>
      </c>
      <c r="K103" s="47" t="str">
        <f aca="false">IF(D103="","",P103-J103)</f>
        <v/>
      </c>
      <c r="L103" s="55" t="str">
        <f aca="false">IF(OR(D103="",N(K103)&lt;=0,H103=""),"",MAX(0,Setup!$C$11-H103))</f>
        <v/>
      </c>
      <c r="M103" s="54" t="str">
        <f aca="false">IF(OR(D103="",B103=""),"",IF(IFERROR(INDEX(Suppliers!$S$7:$S$106,MATCH(D103,Suppliers!$B$7:$B$106,0)),"")="","–",B103+IFERROR(INDEX(Suppliers!$S$7:$S$106,MATCH(D103,Suppliers!$B$7:$B$106,0)),"")))</f>
        <v/>
      </c>
      <c r="N103" s="56" t="str">
        <f aca="false">IF(D103="","",IF(N(K103)&lt;=0,"Paid",IF(AND(ISNUMBER(M103),Setup!$C$11&gt;M103),"⚠ MSME late",IF(N(L103)&gt;0,"Overdue",IF(N(V103)&lt;=Setup!$C$9,"⚠ MSME due soon",IF(K103&lt;E103,"Part paid","Not due"))))))</f>
        <v/>
      </c>
      <c r="O103" s="50" t="str">
        <f aca="false">IF(AND(D103="",B103="",C103="",E103=""),"",IF(D103="","⚠ Pick supplier",IF(ISNA(MATCH(D103,Suppliers!$B$7:$B$106,0)),"⚠ Supplier not in list",IF(B103="","⚠ Enter bill date",IF(N(E103)&lt;=0,"⚠ Enter amount",IF(AND(C103&lt;&gt;"",COUNTIFS($D$8:$D$507,D103,$C$8:$C$507,C103)&gt;1),"⚠ Bill no. used twice",IF(N(I103)&gt;N(E103),"⚠ Paid more than bill","✔")))))))</f>
        <v/>
      </c>
      <c r="P103" s="9" t="n">
        <f aca="false">IF(D103="",0,MAX(0,N(E103)-N(I103)))</f>
        <v>0</v>
      </c>
      <c r="Q103" s="9" t="n">
        <f aca="false">IF(D103="",0,SUMIFS($P$8:$P$507,$D$8:$D$507,D103,$B$8:$B$507,"&lt;"&amp;B103)+SUMIFS($P$8:P102,$D$8:D102,D103,$B$8:B102,B103))</f>
        <v>0</v>
      </c>
      <c r="R103" s="9" t="n">
        <f aca="false">IF(D103="",0,IFERROR(INDEX(Suppliers!$R$7:$R$106,MATCH(D103,Suppliers!$B$7:$B$106,0)),0))</f>
        <v>0</v>
      </c>
      <c r="S103" s="9" t="str">
        <f aca="false">IF(N(K103)&gt;0,IF(H103="",99999,MIN(H103,IF(ISNUMBER(M103),M103,H103)))+ROW()/100000,"")</f>
        <v/>
      </c>
      <c r="U103" s="9" t="n">
        <f aca="false">IF(N(K103)&gt;0,N(L103),0)</f>
        <v>0</v>
      </c>
      <c r="V103" s="9" t="n">
        <f aca="false">IF(AND(N(K103)&gt;0,ISNUMBER(M103)),M103-Setup!$C$11,99999)</f>
        <v>99999</v>
      </c>
    </row>
    <row r="104" customFormat="false" ht="15" hidden="false" customHeight="false" outlineLevel="0" collapsed="false">
      <c r="A104" s="40" t="str">
        <f aca="false">IF(D104="","",ROW()-7)</f>
        <v/>
      </c>
      <c r="B104" s="79"/>
      <c r="C104" s="75"/>
      <c r="D104" s="76"/>
      <c r="E104" s="80"/>
      <c r="F104" s="79"/>
      <c r="G104" s="76"/>
      <c r="H104" s="54" t="str">
        <f aca="false">IF(OR(D104="",B104=""),"",IF(F104&lt;&gt;"",F104,B104+IFERROR(INDEX(Suppliers!$Q$7:$Q$106,MATCH(D104,Suppliers!$B$7:$B$106,0)),Setup!$C$7)))</f>
        <v/>
      </c>
      <c r="I104" s="46" t="str">
        <f aca="false">IF(OR(D104="",C104=""),IF(D104="","",0),SUMIFS(Payments!$D$8:$D$507,Payments!$C$8:$C$507,D104,Payments!$F$8:$F$507,C104))</f>
        <v/>
      </c>
      <c r="J104" s="46" t="str">
        <f aca="false">IF(D104="","",MIN(P104,MAX(0,R104-Q104)))</f>
        <v/>
      </c>
      <c r="K104" s="47" t="str">
        <f aca="false">IF(D104="","",P104-J104)</f>
        <v/>
      </c>
      <c r="L104" s="55" t="str">
        <f aca="false">IF(OR(D104="",N(K104)&lt;=0,H104=""),"",MAX(0,Setup!$C$11-H104))</f>
        <v/>
      </c>
      <c r="M104" s="54" t="str">
        <f aca="false">IF(OR(D104="",B104=""),"",IF(IFERROR(INDEX(Suppliers!$S$7:$S$106,MATCH(D104,Suppliers!$B$7:$B$106,0)),"")="","–",B104+IFERROR(INDEX(Suppliers!$S$7:$S$106,MATCH(D104,Suppliers!$B$7:$B$106,0)),"")))</f>
        <v/>
      </c>
      <c r="N104" s="56" t="str">
        <f aca="false">IF(D104="","",IF(N(K104)&lt;=0,"Paid",IF(AND(ISNUMBER(M104),Setup!$C$11&gt;M104),"⚠ MSME late",IF(N(L104)&gt;0,"Overdue",IF(N(V104)&lt;=Setup!$C$9,"⚠ MSME due soon",IF(K104&lt;E104,"Part paid","Not due"))))))</f>
        <v/>
      </c>
      <c r="O104" s="50" t="str">
        <f aca="false">IF(AND(D104="",B104="",C104="",E104=""),"",IF(D104="","⚠ Pick supplier",IF(ISNA(MATCH(D104,Suppliers!$B$7:$B$106,0)),"⚠ Supplier not in list",IF(B104="","⚠ Enter bill date",IF(N(E104)&lt;=0,"⚠ Enter amount",IF(AND(C104&lt;&gt;"",COUNTIFS($D$8:$D$507,D104,$C$8:$C$507,C104)&gt;1),"⚠ Bill no. used twice",IF(N(I104)&gt;N(E104),"⚠ Paid more than bill","✔")))))))</f>
        <v/>
      </c>
      <c r="P104" s="9" t="n">
        <f aca="false">IF(D104="",0,MAX(0,N(E104)-N(I104)))</f>
        <v>0</v>
      </c>
      <c r="Q104" s="9" t="n">
        <f aca="false">IF(D104="",0,SUMIFS($P$8:$P$507,$D$8:$D$507,D104,$B$8:$B$507,"&lt;"&amp;B104)+SUMIFS($P$8:P103,$D$8:D103,D104,$B$8:B103,B104))</f>
        <v>0</v>
      </c>
      <c r="R104" s="9" t="n">
        <f aca="false">IF(D104="",0,IFERROR(INDEX(Suppliers!$R$7:$R$106,MATCH(D104,Suppliers!$B$7:$B$106,0)),0))</f>
        <v>0</v>
      </c>
      <c r="S104" s="9" t="str">
        <f aca="false">IF(N(K104)&gt;0,IF(H104="",99999,MIN(H104,IF(ISNUMBER(M104),M104,H104)))+ROW()/100000,"")</f>
        <v/>
      </c>
      <c r="U104" s="9" t="n">
        <f aca="false">IF(N(K104)&gt;0,N(L104),0)</f>
        <v>0</v>
      </c>
      <c r="V104" s="9" t="n">
        <f aca="false">IF(AND(N(K104)&gt;0,ISNUMBER(M104)),M104-Setup!$C$11,99999)</f>
        <v>99999</v>
      </c>
    </row>
    <row r="105" customFormat="false" ht="15" hidden="false" customHeight="false" outlineLevel="0" collapsed="false">
      <c r="A105" s="40" t="str">
        <f aca="false">IF(D105="","",ROW()-7)</f>
        <v/>
      </c>
      <c r="B105" s="79"/>
      <c r="C105" s="75"/>
      <c r="D105" s="76"/>
      <c r="E105" s="80"/>
      <c r="F105" s="79"/>
      <c r="G105" s="76"/>
      <c r="H105" s="54" t="str">
        <f aca="false">IF(OR(D105="",B105=""),"",IF(F105&lt;&gt;"",F105,B105+IFERROR(INDEX(Suppliers!$Q$7:$Q$106,MATCH(D105,Suppliers!$B$7:$B$106,0)),Setup!$C$7)))</f>
        <v/>
      </c>
      <c r="I105" s="46" t="str">
        <f aca="false">IF(OR(D105="",C105=""),IF(D105="","",0),SUMIFS(Payments!$D$8:$D$507,Payments!$C$8:$C$507,D105,Payments!$F$8:$F$507,C105))</f>
        <v/>
      </c>
      <c r="J105" s="46" t="str">
        <f aca="false">IF(D105="","",MIN(P105,MAX(0,R105-Q105)))</f>
        <v/>
      </c>
      <c r="K105" s="47" t="str">
        <f aca="false">IF(D105="","",P105-J105)</f>
        <v/>
      </c>
      <c r="L105" s="55" t="str">
        <f aca="false">IF(OR(D105="",N(K105)&lt;=0,H105=""),"",MAX(0,Setup!$C$11-H105))</f>
        <v/>
      </c>
      <c r="M105" s="54" t="str">
        <f aca="false">IF(OR(D105="",B105=""),"",IF(IFERROR(INDEX(Suppliers!$S$7:$S$106,MATCH(D105,Suppliers!$B$7:$B$106,0)),"")="","–",B105+IFERROR(INDEX(Suppliers!$S$7:$S$106,MATCH(D105,Suppliers!$B$7:$B$106,0)),"")))</f>
        <v/>
      </c>
      <c r="N105" s="56" t="str">
        <f aca="false">IF(D105="","",IF(N(K105)&lt;=0,"Paid",IF(AND(ISNUMBER(M105),Setup!$C$11&gt;M105),"⚠ MSME late",IF(N(L105)&gt;0,"Overdue",IF(N(V105)&lt;=Setup!$C$9,"⚠ MSME due soon",IF(K105&lt;E105,"Part paid","Not due"))))))</f>
        <v/>
      </c>
      <c r="O105" s="50" t="str">
        <f aca="false">IF(AND(D105="",B105="",C105="",E105=""),"",IF(D105="","⚠ Pick supplier",IF(ISNA(MATCH(D105,Suppliers!$B$7:$B$106,0)),"⚠ Supplier not in list",IF(B105="","⚠ Enter bill date",IF(N(E105)&lt;=0,"⚠ Enter amount",IF(AND(C105&lt;&gt;"",COUNTIFS($D$8:$D$507,D105,$C$8:$C$507,C105)&gt;1),"⚠ Bill no. used twice",IF(N(I105)&gt;N(E105),"⚠ Paid more than bill","✔")))))))</f>
        <v/>
      </c>
      <c r="P105" s="9" t="n">
        <f aca="false">IF(D105="",0,MAX(0,N(E105)-N(I105)))</f>
        <v>0</v>
      </c>
      <c r="Q105" s="9" t="n">
        <f aca="false">IF(D105="",0,SUMIFS($P$8:$P$507,$D$8:$D$507,D105,$B$8:$B$507,"&lt;"&amp;B105)+SUMIFS($P$8:P104,$D$8:D104,D105,$B$8:B104,B105))</f>
        <v>0</v>
      </c>
      <c r="R105" s="9" t="n">
        <f aca="false">IF(D105="",0,IFERROR(INDEX(Suppliers!$R$7:$R$106,MATCH(D105,Suppliers!$B$7:$B$106,0)),0))</f>
        <v>0</v>
      </c>
      <c r="S105" s="9" t="str">
        <f aca="false">IF(N(K105)&gt;0,IF(H105="",99999,MIN(H105,IF(ISNUMBER(M105),M105,H105)))+ROW()/100000,"")</f>
        <v/>
      </c>
      <c r="U105" s="9" t="n">
        <f aca="false">IF(N(K105)&gt;0,N(L105),0)</f>
        <v>0</v>
      </c>
      <c r="V105" s="9" t="n">
        <f aca="false">IF(AND(N(K105)&gt;0,ISNUMBER(M105)),M105-Setup!$C$11,99999)</f>
        <v>99999</v>
      </c>
    </row>
    <row r="106" customFormat="false" ht="15" hidden="false" customHeight="false" outlineLevel="0" collapsed="false">
      <c r="A106" s="40" t="str">
        <f aca="false">IF(D106="","",ROW()-7)</f>
        <v/>
      </c>
      <c r="B106" s="79"/>
      <c r="C106" s="75"/>
      <c r="D106" s="76"/>
      <c r="E106" s="80"/>
      <c r="F106" s="79"/>
      <c r="G106" s="76"/>
      <c r="H106" s="54" t="str">
        <f aca="false">IF(OR(D106="",B106=""),"",IF(F106&lt;&gt;"",F106,B106+IFERROR(INDEX(Suppliers!$Q$7:$Q$106,MATCH(D106,Suppliers!$B$7:$B$106,0)),Setup!$C$7)))</f>
        <v/>
      </c>
      <c r="I106" s="46" t="str">
        <f aca="false">IF(OR(D106="",C106=""),IF(D106="","",0),SUMIFS(Payments!$D$8:$D$507,Payments!$C$8:$C$507,D106,Payments!$F$8:$F$507,C106))</f>
        <v/>
      </c>
      <c r="J106" s="46" t="str">
        <f aca="false">IF(D106="","",MIN(P106,MAX(0,R106-Q106)))</f>
        <v/>
      </c>
      <c r="K106" s="47" t="str">
        <f aca="false">IF(D106="","",P106-J106)</f>
        <v/>
      </c>
      <c r="L106" s="55" t="str">
        <f aca="false">IF(OR(D106="",N(K106)&lt;=0,H106=""),"",MAX(0,Setup!$C$11-H106))</f>
        <v/>
      </c>
      <c r="M106" s="54" t="str">
        <f aca="false">IF(OR(D106="",B106=""),"",IF(IFERROR(INDEX(Suppliers!$S$7:$S$106,MATCH(D106,Suppliers!$B$7:$B$106,0)),"")="","–",B106+IFERROR(INDEX(Suppliers!$S$7:$S$106,MATCH(D106,Suppliers!$B$7:$B$106,0)),"")))</f>
        <v/>
      </c>
      <c r="N106" s="56" t="str">
        <f aca="false">IF(D106="","",IF(N(K106)&lt;=0,"Paid",IF(AND(ISNUMBER(M106),Setup!$C$11&gt;M106),"⚠ MSME late",IF(N(L106)&gt;0,"Overdue",IF(N(V106)&lt;=Setup!$C$9,"⚠ MSME due soon",IF(K106&lt;E106,"Part paid","Not due"))))))</f>
        <v/>
      </c>
      <c r="O106" s="50" t="str">
        <f aca="false">IF(AND(D106="",B106="",C106="",E106=""),"",IF(D106="","⚠ Pick supplier",IF(ISNA(MATCH(D106,Suppliers!$B$7:$B$106,0)),"⚠ Supplier not in list",IF(B106="","⚠ Enter bill date",IF(N(E106)&lt;=0,"⚠ Enter amount",IF(AND(C106&lt;&gt;"",COUNTIFS($D$8:$D$507,D106,$C$8:$C$507,C106)&gt;1),"⚠ Bill no. used twice",IF(N(I106)&gt;N(E106),"⚠ Paid more than bill","✔")))))))</f>
        <v/>
      </c>
      <c r="P106" s="9" t="n">
        <f aca="false">IF(D106="",0,MAX(0,N(E106)-N(I106)))</f>
        <v>0</v>
      </c>
      <c r="Q106" s="9" t="n">
        <f aca="false">IF(D106="",0,SUMIFS($P$8:$P$507,$D$8:$D$507,D106,$B$8:$B$507,"&lt;"&amp;B106)+SUMIFS($P$8:P105,$D$8:D105,D106,$B$8:B105,B106))</f>
        <v>0</v>
      </c>
      <c r="R106" s="9" t="n">
        <f aca="false">IF(D106="",0,IFERROR(INDEX(Suppliers!$R$7:$R$106,MATCH(D106,Suppliers!$B$7:$B$106,0)),0))</f>
        <v>0</v>
      </c>
      <c r="S106" s="9" t="str">
        <f aca="false">IF(N(K106)&gt;0,IF(H106="",99999,MIN(H106,IF(ISNUMBER(M106),M106,H106)))+ROW()/100000,"")</f>
        <v/>
      </c>
      <c r="U106" s="9" t="n">
        <f aca="false">IF(N(K106)&gt;0,N(L106),0)</f>
        <v>0</v>
      </c>
      <c r="V106" s="9" t="n">
        <f aca="false">IF(AND(N(K106)&gt;0,ISNUMBER(M106)),M106-Setup!$C$11,99999)</f>
        <v>99999</v>
      </c>
    </row>
    <row r="107" customFormat="false" ht="15" hidden="false" customHeight="false" outlineLevel="0" collapsed="false">
      <c r="A107" s="40" t="str">
        <f aca="false">IF(D107="","",ROW()-7)</f>
        <v/>
      </c>
      <c r="B107" s="79"/>
      <c r="C107" s="75"/>
      <c r="D107" s="76"/>
      <c r="E107" s="80"/>
      <c r="F107" s="79"/>
      <c r="G107" s="76"/>
      <c r="H107" s="54" t="str">
        <f aca="false">IF(OR(D107="",B107=""),"",IF(F107&lt;&gt;"",F107,B107+IFERROR(INDEX(Suppliers!$Q$7:$Q$106,MATCH(D107,Suppliers!$B$7:$B$106,0)),Setup!$C$7)))</f>
        <v/>
      </c>
      <c r="I107" s="46" t="str">
        <f aca="false">IF(OR(D107="",C107=""),IF(D107="","",0),SUMIFS(Payments!$D$8:$D$507,Payments!$C$8:$C$507,D107,Payments!$F$8:$F$507,C107))</f>
        <v/>
      </c>
      <c r="J107" s="46" t="str">
        <f aca="false">IF(D107="","",MIN(P107,MAX(0,R107-Q107)))</f>
        <v/>
      </c>
      <c r="K107" s="47" t="str">
        <f aca="false">IF(D107="","",P107-J107)</f>
        <v/>
      </c>
      <c r="L107" s="55" t="str">
        <f aca="false">IF(OR(D107="",N(K107)&lt;=0,H107=""),"",MAX(0,Setup!$C$11-H107))</f>
        <v/>
      </c>
      <c r="M107" s="54" t="str">
        <f aca="false">IF(OR(D107="",B107=""),"",IF(IFERROR(INDEX(Suppliers!$S$7:$S$106,MATCH(D107,Suppliers!$B$7:$B$106,0)),"")="","–",B107+IFERROR(INDEX(Suppliers!$S$7:$S$106,MATCH(D107,Suppliers!$B$7:$B$106,0)),"")))</f>
        <v/>
      </c>
      <c r="N107" s="56" t="str">
        <f aca="false">IF(D107="","",IF(N(K107)&lt;=0,"Paid",IF(AND(ISNUMBER(M107),Setup!$C$11&gt;M107),"⚠ MSME late",IF(N(L107)&gt;0,"Overdue",IF(N(V107)&lt;=Setup!$C$9,"⚠ MSME due soon",IF(K107&lt;E107,"Part paid","Not due"))))))</f>
        <v/>
      </c>
      <c r="O107" s="50" t="str">
        <f aca="false">IF(AND(D107="",B107="",C107="",E107=""),"",IF(D107="","⚠ Pick supplier",IF(ISNA(MATCH(D107,Suppliers!$B$7:$B$106,0)),"⚠ Supplier not in list",IF(B107="","⚠ Enter bill date",IF(N(E107)&lt;=0,"⚠ Enter amount",IF(AND(C107&lt;&gt;"",COUNTIFS($D$8:$D$507,D107,$C$8:$C$507,C107)&gt;1),"⚠ Bill no. used twice",IF(N(I107)&gt;N(E107),"⚠ Paid more than bill","✔")))))))</f>
        <v/>
      </c>
      <c r="P107" s="9" t="n">
        <f aca="false">IF(D107="",0,MAX(0,N(E107)-N(I107)))</f>
        <v>0</v>
      </c>
      <c r="Q107" s="9" t="n">
        <f aca="false">IF(D107="",0,SUMIFS($P$8:$P$507,$D$8:$D$507,D107,$B$8:$B$507,"&lt;"&amp;B107)+SUMIFS($P$8:P106,$D$8:D106,D107,$B$8:B106,B107))</f>
        <v>0</v>
      </c>
      <c r="R107" s="9" t="n">
        <f aca="false">IF(D107="",0,IFERROR(INDEX(Suppliers!$R$7:$R$106,MATCH(D107,Suppliers!$B$7:$B$106,0)),0))</f>
        <v>0</v>
      </c>
      <c r="S107" s="9" t="str">
        <f aca="false">IF(N(K107)&gt;0,IF(H107="",99999,MIN(H107,IF(ISNUMBER(M107),M107,H107)))+ROW()/100000,"")</f>
        <v/>
      </c>
      <c r="U107" s="9" t="n">
        <f aca="false">IF(N(K107)&gt;0,N(L107),0)</f>
        <v>0</v>
      </c>
      <c r="V107" s="9" t="n">
        <f aca="false">IF(AND(N(K107)&gt;0,ISNUMBER(M107)),M107-Setup!$C$11,99999)</f>
        <v>99999</v>
      </c>
    </row>
    <row r="108" customFormat="false" ht="15" hidden="false" customHeight="false" outlineLevel="0" collapsed="false">
      <c r="A108" s="40" t="str">
        <f aca="false">IF(D108="","",ROW()-7)</f>
        <v/>
      </c>
      <c r="B108" s="79"/>
      <c r="C108" s="75"/>
      <c r="D108" s="76"/>
      <c r="E108" s="80"/>
      <c r="F108" s="79"/>
      <c r="G108" s="76"/>
      <c r="H108" s="54" t="str">
        <f aca="false">IF(OR(D108="",B108=""),"",IF(F108&lt;&gt;"",F108,B108+IFERROR(INDEX(Suppliers!$Q$7:$Q$106,MATCH(D108,Suppliers!$B$7:$B$106,0)),Setup!$C$7)))</f>
        <v/>
      </c>
      <c r="I108" s="46" t="str">
        <f aca="false">IF(OR(D108="",C108=""),IF(D108="","",0),SUMIFS(Payments!$D$8:$D$507,Payments!$C$8:$C$507,D108,Payments!$F$8:$F$507,C108))</f>
        <v/>
      </c>
      <c r="J108" s="46" t="str">
        <f aca="false">IF(D108="","",MIN(P108,MAX(0,R108-Q108)))</f>
        <v/>
      </c>
      <c r="K108" s="47" t="str">
        <f aca="false">IF(D108="","",P108-J108)</f>
        <v/>
      </c>
      <c r="L108" s="55" t="str">
        <f aca="false">IF(OR(D108="",N(K108)&lt;=0,H108=""),"",MAX(0,Setup!$C$11-H108))</f>
        <v/>
      </c>
      <c r="M108" s="54" t="str">
        <f aca="false">IF(OR(D108="",B108=""),"",IF(IFERROR(INDEX(Suppliers!$S$7:$S$106,MATCH(D108,Suppliers!$B$7:$B$106,0)),"")="","–",B108+IFERROR(INDEX(Suppliers!$S$7:$S$106,MATCH(D108,Suppliers!$B$7:$B$106,0)),"")))</f>
        <v/>
      </c>
      <c r="N108" s="56" t="str">
        <f aca="false">IF(D108="","",IF(N(K108)&lt;=0,"Paid",IF(AND(ISNUMBER(M108),Setup!$C$11&gt;M108),"⚠ MSME late",IF(N(L108)&gt;0,"Overdue",IF(N(V108)&lt;=Setup!$C$9,"⚠ MSME due soon",IF(K108&lt;E108,"Part paid","Not due"))))))</f>
        <v/>
      </c>
      <c r="O108" s="50" t="str">
        <f aca="false">IF(AND(D108="",B108="",C108="",E108=""),"",IF(D108="","⚠ Pick supplier",IF(ISNA(MATCH(D108,Suppliers!$B$7:$B$106,0)),"⚠ Supplier not in list",IF(B108="","⚠ Enter bill date",IF(N(E108)&lt;=0,"⚠ Enter amount",IF(AND(C108&lt;&gt;"",COUNTIFS($D$8:$D$507,D108,$C$8:$C$507,C108)&gt;1),"⚠ Bill no. used twice",IF(N(I108)&gt;N(E108),"⚠ Paid more than bill","✔")))))))</f>
        <v/>
      </c>
      <c r="P108" s="9" t="n">
        <f aca="false">IF(D108="",0,MAX(0,N(E108)-N(I108)))</f>
        <v>0</v>
      </c>
      <c r="Q108" s="9" t="n">
        <f aca="false">IF(D108="",0,SUMIFS($P$8:$P$507,$D$8:$D$507,D108,$B$8:$B$507,"&lt;"&amp;B108)+SUMIFS($P$8:P107,$D$8:D107,D108,$B$8:B107,B108))</f>
        <v>0</v>
      </c>
      <c r="R108" s="9" t="n">
        <f aca="false">IF(D108="",0,IFERROR(INDEX(Suppliers!$R$7:$R$106,MATCH(D108,Suppliers!$B$7:$B$106,0)),0))</f>
        <v>0</v>
      </c>
      <c r="S108" s="9" t="str">
        <f aca="false">IF(N(K108)&gt;0,IF(H108="",99999,MIN(H108,IF(ISNUMBER(M108),M108,H108)))+ROW()/100000,"")</f>
        <v/>
      </c>
      <c r="U108" s="9" t="n">
        <f aca="false">IF(N(K108)&gt;0,N(L108),0)</f>
        <v>0</v>
      </c>
      <c r="V108" s="9" t="n">
        <f aca="false">IF(AND(N(K108)&gt;0,ISNUMBER(M108)),M108-Setup!$C$11,99999)</f>
        <v>99999</v>
      </c>
    </row>
    <row r="109" customFormat="false" ht="15" hidden="false" customHeight="false" outlineLevel="0" collapsed="false">
      <c r="A109" s="40" t="str">
        <f aca="false">IF(D109="","",ROW()-7)</f>
        <v/>
      </c>
      <c r="B109" s="79"/>
      <c r="C109" s="75"/>
      <c r="D109" s="76"/>
      <c r="E109" s="80"/>
      <c r="F109" s="79"/>
      <c r="G109" s="76"/>
      <c r="H109" s="54" t="str">
        <f aca="false">IF(OR(D109="",B109=""),"",IF(F109&lt;&gt;"",F109,B109+IFERROR(INDEX(Suppliers!$Q$7:$Q$106,MATCH(D109,Suppliers!$B$7:$B$106,0)),Setup!$C$7)))</f>
        <v/>
      </c>
      <c r="I109" s="46" t="str">
        <f aca="false">IF(OR(D109="",C109=""),IF(D109="","",0),SUMIFS(Payments!$D$8:$D$507,Payments!$C$8:$C$507,D109,Payments!$F$8:$F$507,C109))</f>
        <v/>
      </c>
      <c r="J109" s="46" t="str">
        <f aca="false">IF(D109="","",MIN(P109,MAX(0,R109-Q109)))</f>
        <v/>
      </c>
      <c r="K109" s="47" t="str">
        <f aca="false">IF(D109="","",P109-J109)</f>
        <v/>
      </c>
      <c r="L109" s="55" t="str">
        <f aca="false">IF(OR(D109="",N(K109)&lt;=0,H109=""),"",MAX(0,Setup!$C$11-H109))</f>
        <v/>
      </c>
      <c r="M109" s="54" t="str">
        <f aca="false">IF(OR(D109="",B109=""),"",IF(IFERROR(INDEX(Suppliers!$S$7:$S$106,MATCH(D109,Suppliers!$B$7:$B$106,0)),"")="","–",B109+IFERROR(INDEX(Suppliers!$S$7:$S$106,MATCH(D109,Suppliers!$B$7:$B$106,0)),"")))</f>
        <v/>
      </c>
      <c r="N109" s="56" t="str">
        <f aca="false">IF(D109="","",IF(N(K109)&lt;=0,"Paid",IF(AND(ISNUMBER(M109),Setup!$C$11&gt;M109),"⚠ MSME late",IF(N(L109)&gt;0,"Overdue",IF(N(V109)&lt;=Setup!$C$9,"⚠ MSME due soon",IF(K109&lt;E109,"Part paid","Not due"))))))</f>
        <v/>
      </c>
      <c r="O109" s="50" t="str">
        <f aca="false">IF(AND(D109="",B109="",C109="",E109=""),"",IF(D109="","⚠ Pick supplier",IF(ISNA(MATCH(D109,Suppliers!$B$7:$B$106,0)),"⚠ Supplier not in list",IF(B109="","⚠ Enter bill date",IF(N(E109)&lt;=0,"⚠ Enter amount",IF(AND(C109&lt;&gt;"",COUNTIFS($D$8:$D$507,D109,$C$8:$C$507,C109)&gt;1),"⚠ Bill no. used twice",IF(N(I109)&gt;N(E109),"⚠ Paid more than bill","✔")))))))</f>
        <v/>
      </c>
      <c r="P109" s="9" t="n">
        <f aca="false">IF(D109="",0,MAX(0,N(E109)-N(I109)))</f>
        <v>0</v>
      </c>
      <c r="Q109" s="9" t="n">
        <f aca="false">IF(D109="",0,SUMIFS($P$8:$P$507,$D$8:$D$507,D109,$B$8:$B$507,"&lt;"&amp;B109)+SUMIFS($P$8:P108,$D$8:D108,D109,$B$8:B108,B109))</f>
        <v>0</v>
      </c>
      <c r="R109" s="9" t="n">
        <f aca="false">IF(D109="",0,IFERROR(INDEX(Suppliers!$R$7:$R$106,MATCH(D109,Suppliers!$B$7:$B$106,0)),0))</f>
        <v>0</v>
      </c>
      <c r="S109" s="9" t="str">
        <f aca="false">IF(N(K109)&gt;0,IF(H109="",99999,MIN(H109,IF(ISNUMBER(M109),M109,H109)))+ROW()/100000,"")</f>
        <v/>
      </c>
      <c r="U109" s="9" t="n">
        <f aca="false">IF(N(K109)&gt;0,N(L109),0)</f>
        <v>0</v>
      </c>
      <c r="V109" s="9" t="n">
        <f aca="false">IF(AND(N(K109)&gt;0,ISNUMBER(M109)),M109-Setup!$C$11,99999)</f>
        <v>99999</v>
      </c>
    </row>
    <row r="110" customFormat="false" ht="15" hidden="false" customHeight="false" outlineLevel="0" collapsed="false">
      <c r="A110" s="40" t="str">
        <f aca="false">IF(D110="","",ROW()-7)</f>
        <v/>
      </c>
      <c r="B110" s="79"/>
      <c r="C110" s="75"/>
      <c r="D110" s="76"/>
      <c r="E110" s="80"/>
      <c r="F110" s="79"/>
      <c r="G110" s="76"/>
      <c r="H110" s="54" t="str">
        <f aca="false">IF(OR(D110="",B110=""),"",IF(F110&lt;&gt;"",F110,B110+IFERROR(INDEX(Suppliers!$Q$7:$Q$106,MATCH(D110,Suppliers!$B$7:$B$106,0)),Setup!$C$7)))</f>
        <v/>
      </c>
      <c r="I110" s="46" t="str">
        <f aca="false">IF(OR(D110="",C110=""),IF(D110="","",0),SUMIFS(Payments!$D$8:$D$507,Payments!$C$8:$C$507,D110,Payments!$F$8:$F$507,C110))</f>
        <v/>
      </c>
      <c r="J110" s="46" t="str">
        <f aca="false">IF(D110="","",MIN(P110,MAX(0,R110-Q110)))</f>
        <v/>
      </c>
      <c r="K110" s="47" t="str">
        <f aca="false">IF(D110="","",P110-J110)</f>
        <v/>
      </c>
      <c r="L110" s="55" t="str">
        <f aca="false">IF(OR(D110="",N(K110)&lt;=0,H110=""),"",MAX(0,Setup!$C$11-H110))</f>
        <v/>
      </c>
      <c r="M110" s="54" t="str">
        <f aca="false">IF(OR(D110="",B110=""),"",IF(IFERROR(INDEX(Suppliers!$S$7:$S$106,MATCH(D110,Suppliers!$B$7:$B$106,0)),"")="","–",B110+IFERROR(INDEX(Suppliers!$S$7:$S$106,MATCH(D110,Suppliers!$B$7:$B$106,0)),"")))</f>
        <v/>
      </c>
      <c r="N110" s="56" t="str">
        <f aca="false">IF(D110="","",IF(N(K110)&lt;=0,"Paid",IF(AND(ISNUMBER(M110),Setup!$C$11&gt;M110),"⚠ MSME late",IF(N(L110)&gt;0,"Overdue",IF(N(V110)&lt;=Setup!$C$9,"⚠ MSME due soon",IF(K110&lt;E110,"Part paid","Not due"))))))</f>
        <v/>
      </c>
      <c r="O110" s="50" t="str">
        <f aca="false">IF(AND(D110="",B110="",C110="",E110=""),"",IF(D110="","⚠ Pick supplier",IF(ISNA(MATCH(D110,Suppliers!$B$7:$B$106,0)),"⚠ Supplier not in list",IF(B110="","⚠ Enter bill date",IF(N(E110)&lt;=0,"⚠ Enter amount",IF(AND(C110&lt;&gt;"",COUNTIFS($D$8:$D$507,D110,$C$8:$C$507,C110)&gt;1),"⚠ Bill no. used twice",IF(N(I110)&gt;N(E110),"⚠ Paid more than bill","✔")))))))</f>
        <v/>
      </c>
      <c r="P110" s="9" t="n">
        <f aca="false">IF(D110="",0,MAX(0,N(E110)-N(I110)))</f>
        <v>0</v>
      </c>
      <c r="Q110" s="9" t="n">
        <f aca="false">IF(D110="",0,SUMIFS($P$8:$P$507,$D$8:$D$507,D110,$B$8:$B$507,"&lt;"&amp;B110)+SUMIFS($P$8:P109,$D$8:D109,D110,$B$8:B109,B110))</f>
        <v>0</v>
      </c>
      <c r="R110" s="9" t="n">
        <f aca="false">IF(D110="",0,IFERROR(INDEX(Suppliers!$R$7:$R$106,MATCH(D110,Suppliers!$B$7:$B$106,0)),0))</f>
        <v>0</v>
      </c>
      <c r="S110" s="9" t="str">
        <f aca="false">IF(N(K110)&gt;0,IF(H110="",99999,MIN(H110,IF(ISNUMBER(M110),M110,H110)))+ROW()/100000,"")</f>
        <v/>
      </c>
      <c r="U110" s="9" t="n">
        <f aca="false">IF(N(K110)&gt;0,N(L110),0)</f>
        <v>0</v>
      </c>
      <c r="V110" s="9" t="n">
        <f aca="false">IF(AND(N(K110)&gt;0,ISNUMBER(M110)),M110-Setup!$C$11,99999)</f>
        <v>99999</v>
      </c>
    </row>
    <row r="111" customFormat="false" ht="15" hidden="false" customHeight="false" outlineLevel="0" collapsed="false">
      <c r="A111" s="40" t="str">
        <f aca="false">IF(D111="","",ROW()-7)</f>
        <v/>
      </c>
      <c r="B111" s="79"/>
      <c r="C111" s="75"/>
      <c r="D111" s="76"/>
      <c r="E111" s="80"/>
      <c r="F111" s="79"/>
      <c r="G111" s="76"/>
      <c r="H111" s="54" t="str">
        <f aca="false">IF(OR(D111="",B111=""),"",IF(F111&lt;&gt;"",F111,B111+IFERROR(INDEX(Suppliers!$Q$7:$Q$106,MATCH(D111,Suppliers!$B$7:$B$106,0)),Setup!$C$7)))</f>
        <v/>
      </c>
      <c r="I111" s="46" t="str">
        <f aca="false">IF(OR(D111="",C111=""),IF(D111="","",0),SUMIFS(Payments!$D$8:$D$507,Payments!$C$8:$C$507,D111,Payments!$F$8:$F$507,C111))</f>
        <v/>
      </c>
      <c r="J111" s="46" t="str">
        <f aca="false">IF(D111="","",MIN(P111,MAX(0,R111-Q111)))</f>
        <v/>
      </c>
      <c r="K111" s="47" t="str">
        <f aca="false">IF(D111="","",P111-J111)</f>
        <v/>
      </c>
      <c r="L111" s="55" t="str">
        <f aca="false">IF(OR(D111="",N(K111)&lt;=0,H111=""),"",MAX(0,Setup!$C$11-H111))</f>
        <v/>
      </c>
      <c r="M111" s="54" t="str">
        <f aca="false">IF(OR(D111="",B111=""),"",IF(IFERROR(INDEX(Suppliers!$S$7:$S$106,MATCH(D111,Suppliers!$B$7:$B$106,0)),"")="","–",B111+IFERROR(INDEX(Suppliers!$S$7:$S$106,MATCH(D111,Suppliers!$B$7:$B$106,0)),"")))</f>
        <v/>
      </c>
      <c r="N111" s="56" t="str">
        <f aca="false">IF(D111="","",IF(N(K111)&lt;=0,"Paid",IF(AND(ISNUMBER(M111),Setup!$C$11&gt;M111),"⚠ MSME late",IF(N(L111)&gt;0,"Overdue",IF(N(V111)&lt;=Setup!$C$9,"⚠ MSME due soon",IF(K111&lt;E111,"Part paid","Not due"))))))</f>
        <v/>
      </c>
      <c r="O111" s="50" t="str">
        <f aca="false">IF(AND(D111="",B111="",C111="",E111=""),"",IF(D111="","⚠ Pick supplier",IF(ISNA(MATCH(D111,Suppliers!$B$7:$B$106,0)),"⚠ Supplier not in list",IF(B111="","⚠ Enter bill date",IF(N(E111)&lt;=0,"⚠ Enter amount",IF(AND(C111&lt;&gt;"",COUNTIFS($D$8:$D$507,D111,$C$8:$C$507,C111)&gt;1),"⚠ Bill no. used twice",IF(N(I111)&gt;N(E111),"⚠ Paid more than bill","✔")))))))</f>
        <v/>
      </c>
      <c r="P111" s="9" t="n">
        <f aca="false">IF(D111="",0,MAX(0,N(E111)-N(I111)))</f>
        <v>0</v>
      </c>
      <c r="Q111" s="9" t="n">
        <f aca="false">IF(D111="",0,SUMIFS($P$8:$P$507,$D$8:$D$507,D111,$B$8:$B$507,"&lt;"&amp;B111)+SUMIFS($P$8:P110,$D$8:D110,D111,$B$8:B110,B111))</f>
        <v>0</v>
      </c>
      <c r="R111" s="9" t="n">
        <f aca="false">IF(D111="",0,IFERROR(INDEX(Suppliers!$R$7:$R$106,MATCH(D111,Suppliers!$B$7:$B$106,0)),0))</f>
        <v>0</v>
      </c>
      <c r="S111" s="9" t="str">
        <f aca="false">IF(N(K111)&gt;0,IF(H111="",99999,MIN(H111,IF(ISNUMBER(M111),M111,H111)))+ROW()/100000,"")</f>
        <v/>
      </c>
      <c r="U111" s="9" t="n">
        <f aca="false">IF(N(K111)&gt;0,N(L111),0)</f>
        <v>0</v>
      </c>
      <c r="V111" s="9" t="n">
        <f aca="false">IF(AND(N(K111)&gt;0,ISNUMBER(M111)),M111-Setup!$C$11,99999)</f>
        <v>99999</v>
      </c>
    </row>
    <row r="112" customFormat="false" ht="15" hidden="false" customHeight="false" outlineLevel="0" collapsed="false">
      <c r="A112" s="40" t="str">
        <f aca="false">IF(D112="","",ROW()-7)</f>
        <v/>
      </c>
      <c r="B112" s="79"/>
      <c r="C112" s="75"/>
      <c r="D112" s="76"/>
      <c r="E112" s="80"/>
      <c r="F112" s="79"/>
      <c r="G112" s="76"/>
      <c r="H112" s="54" t="str">
        <f aca="false">IF(OR(D112="",B112=""),"",IF(F112&lt;&gt;"",F112,B112+IFERROR(INDEX(Suppliers!$Q$7:$Q$106,MATCH(D112,Suppliers!$B$7:$B$106,0)),Setup!$C$7)))</f>
        <v/>
      </c>
      <c r="I112" s="46" t="str">
        <f aca="false">IF(OR(D112="",C112=""),IF(D112="","",0),SUMIFS(Payments!$D$8:$D$507,Payments!$C$8:$C$507,D112,Payments!$F$8:$F$507,C112))</f>
        <v/>
      </c>
      <c r="J112" s="46" t="str">
        <f aca="false">IF(D112="","",MIN(P112,MAX(0,R112-Q112)))</f>
        <v/>
      </c>
      <c r="K112" s="47" t="str">
        <f aca="false">IF(D112="","",P112-J112)</f>
        <v/>
      </c>
      <c r="L112" s="55" t="str">
        <f aca="false">IF(OR(D112="",N(K112)&lt;=0,H112=""),"",MAX(0,Setup!$C$11-H112))</f>
        <v/>
      </c>
      <c r="M112" s="54" t="str">
        <f aca="false">IF(OR(D112="",B112=""),"",IF(IFERROR(INDEX(Suppliers!$S$7:$S$106,MATCH(D112,Suppliers!$B$7:$B$106,0)),"")="","–",B112+IFERROR(INDEX(Suppliers!$S$7:$S$106,MATCH(D112,Suppliers!$B$7:$B$106,0)),"")))</f>
        <v/>
      </c>
      <c r="N112" s="56" t="str">
        <f aca="false">IF(D112="","",IF(N(K112)&lt;=0,"Paid",IF(AND(ISNUMBER(M112),Setup!$C$11&gt;M112),"⚠ MSME late",IF(N(L112)&gt;0,"Overdue",IF(N(V112)&lt;=Setup!$C$9,"⚠ MSME due soon",IF(K112&lt;E112,"Part paid","Not due"))))))</f>
        <v/>
      </c>
      <c r="O112" s="50" t="str">
        <f aca="false">IF(AND(D112="",B112="",C112="",E112=""),"",IF(D112="","⚠ Pick supplier",IF(ISNA(MATCH(D112,Suppliers!$B$7:$B$106,0)),"⚠ Supplier not in list",IF(B112="","⚠ Enter bill date",IF(N(E112)&lt;=0,"⚠ Enter amount",IF(AND(C112&lt;&gt;"",COUNTIFS($D$8:$D$507,D112,$C$8:$C$507,C112)&gt;1),"⚠ Bill no. used twice",IF(N(I112)&gt;N(E112),"⚠ Paid more than bill","✔")))))))</f>
        <v/>
      </c>
      <c r="P112" s="9" t="n">
        <f aca="false">IF(D112="",0,MAX(0,N(E112)-N(I112)))</f>
        <v>0</v>
      </c>
      <c r="Q112" s="9" t="n">
        <f aca="false">IF(D112="",0,SUMIFS($P$8:$P$507,$D$8:$D$507,D112,$B$8:$B$507,"&lt;"&amp;B112)+SUMIFS($P$8:P111,$D$8:D111,D112,$B$8:B111,B112))</f>
        <v>0</v>
      </c>
      <c r="R112" s="9" t="n">
        <f aca="false">IF(D112="",0,IFERROR(INDEX(Suppliers!$R$7:$R$106,MATCH(D112,Suppliers!$B$7:$B$106,0)),0))</f>
        <v>0</v>
      </c>
      <c r="S112" s="9" t="str">
        <f aca="false">IF(N(K112)&gt;0,IF(H112="",99999,MIN(H112,IF(ISNUMBER(M112),M112,H112)))+ROW()/100000,"")</f>
        <v/>
      </c>
      <c r="U112" s="9" t="n">
        <f aca="false">IF(N(K112)&gt;0,N(L112),0)</f>
        <v>0</v>
      </c>
      <c r="V112" s="9" t="n">
        <f aca="false">IF(AND(N(K112)&gt;0,ISNUMBER(M112)),M112-Setup!$C$11,99999)</f>
        <v>99999</v>
      </c>
    </row>
    <row r="113" customFormat="false" ht="15" hidden="false" customHeight="false" outlineLevel="0" collapsed="false">
      <c r="A113" s="40" t="str">
        <f aca="false">IF(D113="","",ROW()-7)</f>
        <v/>
      </c>
      <c r="B113" s="79"/>
      <c r="C113" s="75"/>
      <c r="D113" s="76"/>
      <c r="E113" s="80"/>
      <c r="F113" s="79"/>
      <c r="G113" s="76"/>
      <c r="H113" s="54" t="str">
        <f aca="false">IF(OR(D113="",B113=""),"",IF(F113&lt;&gt;"",F113,B113+IFERROR(INDEX(Suppliers!$Q$7:$Q$106,MATCH(D113,Suppliers!$B$7:$B$106,0)),Setup!$C$7)))</f>
        <v/>
      </c>
      <c r="I113" s="46" t="str">
        <f aca="false">IF(OR(D113="",C113=""),IF(D113="","",0),SUMIFS(Payments!$D$8:$D$507,Payments!$C$8:$C$507,D113,Payments!$F$8:$F$507,C113))</f>
        <v/>
      </c>
      <c r="J113" s="46" t="str">
        <f aca="false">IF(D113="","",MIN(P113,MAX(0,R113-Q113)))</f>
        <v/>
      </c>
      <c r="K113" s="47" t="str">
        <f aca="false">IF(D113="","",P113-J113)</f>
        <v/>
      </c>
      <c r="L113" s="55" t="str">
        <f aca="false">IF(OR(D113="",N(K113)&lt;=0,H113=""),"",MAX(0,Setup!$C$11-H113))</f>
        <v/>
      </c>
      <c r="M113" s="54" t="str">
        <f aca="false">IF(OR(D113="",B113=""),"",IF(IFERROR(INDEX(Suppliers!$S$7:$S$106,MATCH(D113,Suppliers!$B$7:$B$106,0)),"")="","–",B113+IFERROR(INDEX(Suppliers!$S$7:$S$106,MATCH(D113,Suppliers!$B$7:$B$106,0)),"")))</f>
        <v/>
      </c>
      <c r="N113" s="56" t="str">
        <f aca="false">IF(D113="","",IF(N(K113)&lt;=0,"Paid",IF(AND(ISNUMBER(M113),Setup!$C$11&gt;M113),"⚠ MSME late",IF(N(L113)&gt;0,"Overdue",IF(N(V113)&lt;=Setup!$C$9,"⚠ MSME due soon",IF(K113&lt;E113,"Part paid","Not due"))))))</f>
        <v/>
      </c>
      <c r="O113" s="50" t="str">
        <f aca="false">IF(AND(D113="",B113="",C113="",E113=""),"",IF(D113="","⚠ Pick supplier",IF(ISNA(MATCH(D113,Suppliers!$B$7:$B$106,0)),"⚠ Supplier not in list",IF(B113="","⚠ Enter bill date",IF(N(E113)&lt;=0,"⚠ Enter amount",IF(AND(C113&lt;&gt;"",COUNTIFS($D$8:$D$507,D113,$C$8:$C$507,C113)&gt;1),"⚠ Bill no. used twice",IF(N(I113)&gt;N(E113),"⚠ Paid more than bill","✔")))))))</f>
        <v/>
      </c>
      <c r="P113" s="9" t="n">
        <f aca="false">IF(D113="",0,MAX(0,N(E113)-N(I113)))</f>
        <v>0</v>
      </c>
      <c r="Q113" s="9" t="n">
        <f aca="false">IF(D113="",0,SUMIFS($P$8:$P$507,$D$8:$D$507,D113,$B$8:$B$507,"&lt;"&amp;B113)+SUMIFS($P$8:P112,$D$8:D112,D113,$B$8:B112,B113))</f>
        <v>0</v>
      </c>
      <c r="R113" s="9" t="n">
        <f aca="false">IF(D113="",0,IFERROR(INDEX(Suppliers!$R$7:$R$106,MATCH(D113,Suppliers!$B$7:$B$106,0)),0))</f>
        <v>0</v>
      </c>
      <c r="S113" s="9" t="str">
        <f aca="false">IF(N(K113)&gt;0,IF(H113="",99999,MIN(H113,IF(ISNUMBER(M113),M113,H113)))+ROW()/100000,"")</f>
        <v/>
      </c>
      <c r="U113" s="9" t="n">
        <f aca="false">IF(N(K113)&gt;0,N(L113),0)</f>
        <v>0</v>
      </c>
      <c r="V113" s="9" t="n">
        <f aca="false">IF(AND(N(K113)&gt;0,ISNUMBER(M113)),M113-Setup!$C$11,99999)</f>
        <v>99999</v>
      </c>
    </row>
    <row r="114" customFormat="false" ht="15" hidden="false" customHeight="false" outlineLevel="0" collapsed="false">
      <c r="A114" s="40" t="str">
        <f aca="false">IF(D114="","",ROW()-7)</f>
        <v/>
      </c>
      <c r="B114" s="79"/>
      <c r="C114" s="75"/>
      <c r="D114" s="76"/>
      <c r="E114" s="80"/>
      <c r="F114" s="79"/>
      <c r="G114" s="76"/>
      <c r="H114" s="54" t="str">
        <f aca="false">IF(OR(D114="",B114=""),"",IF(F114&lt;&gt;"",F114,B114+IFERROR(INDEX(Suppliers!$Q$7:$Q$106,MATCH(D114,Suppliers!$B$7:$B$106,0)),Setup!$C$7)))</f>
        <v/>
      </c>
      <c r="I114" s="46" t="str">
        <f aca="false">IF(OR(D114="",C114=""),IF(D114="","",0),SUMIFS(Payments!$D$8:$D$507,Payments!$C$8:$C$507,D114,Payments!$F$8:$F$507,C114))</f>
        <v/>
      </c>
      <c r="J114" s="46" t="str">
        <f aca="false">IF(D114="","",MIN(P114,MAX(0,R114-Q114)))</f>
        <v/>
      </c>
      <c r="K114" s="47" t="str">
        <f aca="false">IF(D114="","",P114-J114)</f>
        <v/>
      </c>
      <c r="L114" s="55" t="str">
        <f aca="false">IF(OR(D114="",N(K114)&lt;=0,H114=""),"",MAX(0,Setup!$C$11-H114))</f>
        <v/>
      </c>
      <c r="M114" s="54" t="str">
        <f aca="false">IF(OR(D114="",B114=""),"",IF(IFERROR(INDEX(Suppliers!$S$7:$S$106,MATCH(D114,Suppliers!$B$7:$B$106,0)),"")="","–",B114+IFERROR(INDEX(Suppliers!$S$7:$S$106,MATCH(D114,Suppliers!$B$7:$B$106,0)),"")))</f>
        <v/>
      </c>
      <c r="N114" s="56" t="str">
        <f aca="false">IF(D114="","",IF(N(K114)&lt;=0,"Paid",IF(AND(ISNUMBER(M114),Setup!$C$11&gt;M114),"⚠ MSME late",IF(N(L114)&gt;0,"Overdue",IF(N(V114)&lt;=Setup!$C$9,"⚠ MSME due soon",IF(K114&lt;E114,"Part paid","Not due"))))))</f>
        <v/>
      </c>
      <c r="O114" s="50" t="str">
        <f aca="false">IF(AND(D114="",B114="",C114="",E114=""),"",IF(D114="","⚠ Pick supplier",IF(ISNA(MATCH(D114,Suppliers!$B$7:$B$106,0)),"⚠ Supplier not in list",IF(B114="","⚠ Enter bill date",IF(N(E114)&lt;=0,"⚠ Enter amount",IF(AND(C114&lt;&gt;"",COUNTIFS($D$8:$D$507,D114,$C$8:$C$507,C114)&gt;1),"⚠ Bill no. used twice",IF(N(I114)&gt;N(E114),"⚠ Paid more than bill","✔")))))))</f>
        <v/>
      </c>
      <c r="P114" s="9" t="n">
        <f aca="false">IF(D114="",0,MAX(0,N(E114)-N(I114)))</f>
        <v>0</v>
      </c>
      <c r="Q114" s="9" t="n">
        <f aca="false">IF(D114="",0,SUMIFS($P$8:$P$507,$D$8:$D$507,D114,$B$8:$B$507,"&lt;"&amp;B114)+SUMIFS($P$8:P113,$D$8:D113,D114,$B$8:B113,B114))</f>
        <v>0</v>
      </c>
      <c r="R114" s="9" t="n">
        <f aca="false">IF(D114="",0,IFERROR(INDEX(Suppliers!$R$7:$R$106,MATCH(D114,Suppliers!$B$7:$B$106,0)),0))</f>
        <v>0</v>
      </c>
      <c r="S114" s="9" t="str">
        <f aca="false">IF(N(K114)&gt;0,IF(H114="",99999,MIN(H114,IF(ISNUMBER(M114),M114,H114)))+ROW()/100000,"")</f>
        <v/>
      </c>
      <c r="U114" s="9" t="n">
        <f aca="false">IF(N(K114)&gt;0,N(L114),0)</f>
        <v>0</v>
      </c>
      <c r="V114" s="9" t="n">
        <f aca="false">IF(AND(N(K114)&gt;0,ISNUMBER(M114)),M114-Setup!$C$11,99999)</f>
        <v>99999</v>
      </c>
    </row>
    <row r="115" customFormat="false" ht="15" hidden="false" customHeight="false" outlineLevel="0" collapsed="false">
      <c r="A115" s="40" t="str">
        <f aca="false">IF(D115="","",ROW()-7)</f>
        <v/>
      </c>
      <c r="B115" s="79"/>
      <c r="C115" s="75"/>
      <c r="D115" s="76"/>
      <c r="E115" s="80"/>
      <c r="F115" s="79"/>
      <c r="G115" s="76"/>
      <c r="H115" s="54" t="str">
        <f aca="false">IF(OR(D115="",B115=""),"",IF(F115&lt;&gt;"",F115,B115+IFERROR(INDEX(Suppliers!$Q$7:$Q$106,MATCH(D115,Suppliers!$B$7:$B$106,0)),Setup!$C$7)))</f>
        <v/>
      </c>
      <c r="I115" s="46" t="str">
        <f aca="false">IF(OR(D115="",C115=""),IF(D115="","",0),SUMIFS(Payments!$D$8:$D$507,Payments!$C$8:$C$507,D115,Payments!$F$8:$F$507,C115))</f>
        <v/>
      </c>
      <c r="J115" s="46" t="str">
        <f aca="false">IF(D115="","",MIN(P115,MAX(0,R115-Q115)))</f>
        <v/>
      </c>
      <c r="K115" s="47" t="str">
        <f aca="false">IF(D115="","",P115-J115)</f>
        <v/>
      </c>
      <c r="L115" s="55" t="str">
        <f aca="false">IF(OR(D115="",N(K115)&lt;=0,H115=""),"",MAX(0,Setup!$C$11-H115))</f>
        <v/>
      </c>
      <c r="M115" s="54" t="str">
        <f aca="false">IF(OR(D115="",B115=""),"",IF(IFERROR(INDEX(Suppliers!$S$7:$S$106,MATCH(D115,Suppliers!$B$7:$B$106,0)),"")="","–",B115+IFERROR(INDEX(Suppliers!$S$7:$S$106,MATCH(D115,Suppliers!$B$7:$B$106,0)),"")))</f>
        <v/>
      </c>
      <c r="N115" s="56" t="str">
        <f aca="false">IF(D115="","",IF(N(K115)&lt;=0,"Paid",IF(AND(ISNUMBER(M115),Setup!$C$11&gt;M115),"⚠ MSME late",IF(N(L115)&gt;0,"Overdue",IF(N(V115)&lt;=Setup!$C$9,"⚠ MSME due soon",IF(K115&lt;E115,"Part paid","Not due"))))))</f>
        <v/>
      </c>
      <c r="O115" s="50" t="str">
        <f aca="false">IF(AND(D115="",B115="",C115="",E115=""),"",IF(D115="","⚠ Pick supplier",IF(ISNA(MATCH(D115,Suppliers!$B$7:$B$106,0)),"⚠ Supplier not in list",IF(B115="","⚠ Enter bill date",IF(N(E115)&lt;=0,"⚠ Enter amount",IF(AND(C115&lt;&gt;"",COUNTIFS($D$8:$D$507,D115,$C$8:$C$507,C115)&gt;1),"⚠ Bill no. used twice",IF(N(I115)&gt;N(E115),"⚠ Paid more than bill","✔")))))))</f>
        <v/>
      </c>
      <c r="P115" s="9" t="n">
        <f aca="false">IF(D115="",0,MAX(0,N(E115)-N(I115)))</f>
        <v>0</v>
      </c>
      <c r="Q115" s="9" t="n">
        <f aca="false">IF(D115="",0,SUMIFS($P$8:$P$507,$D$8:$D$507,D115,$B$8:$B$507,"&lt;"&amp;B115)+SUMIFS($P$8:P114,$D$8:D114,D115,$B$8:B114,B115))</f>
        <v>0</v>
      </c>
      <c r="R115" s="9" t="n">
        <f aca="false">IF(D115="",0,IFERROR(INDEX(Suppliers!$R$7:$R$106,MATCH(D115,Suppliers!$B$7:$B$106,0)),0))</f>
        <v>0</v>
      </c>
      <c r="S115" s="9" t="str">
        <f aca="false">IF(N(K115)&gt;0,IF(H115="",99999,MIN(H115,IF(ISNUMBER(M115),M115,H115)))+ROW()/100000,"")</f>
        <v/>
      </c>
      <c r="U115" s="9" t="n">
        <f aca="false">IF(N(K115)&gt;0,N(L115),0)</f>
        <v>0</v>
      </c>
      <c r="V115" s="9" t="n">
        <f aca="false">IF(AND(N(K115)&gt;0,ISNUMBER(M115)),M115-Setup!$C$11,99999)</f>
        <v>99999</v>
      </c>
    </row>
    <row r="116" customFormat="false" ht="15" hidden="false" customHeight="false" outlineLevel="0" collapsed="false">
      <c r="A116" s="40" t="str">
        <f aca="false">IF(D116="","",ROW()-7)</f>
        <v/>
      </c>
      <c r="B116" s="79"/>
      <c r="C116" s="75"/>
      <c r="D116" s="76"/>
      <c r="E116" s="80"/>
      <c r="F116" s="79"/>
      <c r="G116" s="76"/>
      <c r="H116" s="54" t="str">
        <f aca="false">IF(OR(D116="",B116=""),"",IF(F116&lt;&gt;"",F116,B116+IFERROR(INDEX(Suppliers!$Q$7:$Q$106,MATCH(D116,Suppliers!$B$7:$B$106,0)),Setup!$C$7)))</f>
        <v/>
      </c>
      <c r="I116" s="46" t="str">
        <f aca="false">IF(OR(D116="",C116=""),IF(D116="","",0),SUMIFS(Payments!$D$8:$D$507,Payments!$C$8:$C$507,D116,Payments!$F$8:$F$507,C116))</f>
        <v/>
      </c>
      <c r="J116" s="46" t="str">
        <f aca="false">IF(D116="","",MIN(P116,MAX(0,R116-Q116)))</f>
        <v/>
      </c>
      <c r="K116" s="47" t="str">
        <f aca="false">IF(D116="","",P116-J116)</f>
        <v/>
      </c>
      <c r="L116" s="55" t="str">
        <f aca="false">IF(OR(D116="",N(K116)&lt;=0,H116=""),"",MAX(0,Setup!$C$11-H116))</f>
        <v/>
      </c>
      <c r="M116" s="54" t="str">
        <f aca="false">IF(OR(D116="",B116=""),"",IF(IFERROR(INDEX(Suppliers!$S$7:$S$106,MATCH(D116,Suppliers!$B$7:$B$106,0)),"")="","–",B116+IFERROR(INDEX(Suppliers!$S$7:$S$106,MATCH(D116,Suppliers!$B$7:$B$106,0)),"")))</f>
        <v/>
      </c>
      <c r="N116" s="56" t="str">
        <f aca="false">IF(D116="","",IF(N(K116)&lt;=0,"Paid",IF(AND(ISNUMBER(M116),Setup!$C$11&gt;M116),"⚠ MSME late",IF(N(L116)&gt;0,"Overdue",IF(N(V116)&lt;=Setup!$C$9,"⚠ MSME due soon",IF(K116&lt;E116,"Part paid","Not due"))))))</f>
        <v/>
      </c>
      <c r="O116" s="50" t="str">
        <f aca="false">IF(AND(D116="",B116="",C116="",E116=""),"",IF(D116="","⚠ Pick supplier",IF(ISNA(MATCH(D116,Suppliers!$B$7:$B$106,0)),"⚠ Supplier not in list",IF(B116="","⚠ Enter bill date",IF(N(E116)&lt;=0,"⚠ Enter amount",IF(AND(C116&lt;&gt;"",COUNTIFS($D$8:$D$507,D116,$C$8:$C$507,C116)&gt;1),"⚠ Bill no. used twice",IF(N(I116)&gt;N(E116),"⚠ Paid more than bill","✔")))))))</f>
        <v/>
      </c>
      <c r="P116" s="9" t="n">
        <f aca="false">IF(D116="",0,MAX(0,N(E116)-N(I116)))</f>
        <v>0</v>
      </c>
      <c r="Q116" s="9" t="n">
        <f aca="false">IF(D116="",0,SUMIFS($P$8:$P$507,$D$8:$D$507,D116,$B$8:$B$507,"&lt;"&amp;B116)+SUMIFS($P$8:P115,$D$8:D115,D116,$B$8:B115,B116))</f>
        <v>0</v>
      </c>
      <c r="R116" s="9" t="n">
        <f aca="false">IF(D116="",0,IFERROR(INDEX(Suppliers!$R$7:$R$106,MATCH(D116,Suppliers!$B$7:$B$106,0)),0))</f>
        <v>0</v>
      </c>
      <c r="S116" s="9" t="str">
        <f aca="false">IF(N(K116)&gt;0,IF(H116="",99999,MIN(H116,IF(ISNUMBER(M116),M116,H116)))+ROW()/100000,"")</f>
        <v/>
      </c>
      <c r="U116" s="9" t="n">
        <f aca="false">IF(N(K116)&gt;0,N(L116),0)</f>
        <v>0</v>
      </c>
      <c r="V116" s="9" t="n">
        <f aca="false">IF(AND(N(K116)&gt;0,ISNUMBER(M116)),M116-Setup!$C$11,99999)</f>
        <v>99999</v>
      </c>
    </row>
    <row r="117" customFormat="false" ht="15" hidden="false" customHeight="false" outlineLevel="0" collapsed="false">
      <c r="A117" s="40" t="str">
        <f aca="false">IF(D117="","",ROW()-7)</f>
        <v/>
      </c>
      <c r="B117" s="79"/>
      <c r="C117" s="75"/>
      <c r="D117" s="76"/>
      <c r="E117" s="80"/>
      <c r="F117" s="79"/>
      <c r="G117" s="76"/>
      <c r="H117" s="54" t="str">
        <f aca="false">IF(OR(D117="",B117=""),"",IF(F117&lt;&gt;"",F117,B117+IFERROR(INDEX(Suppliers!$Q$7:$Q$106,MATCH(D117,Suppliers!$B$7:$B$106,0)),Setup!$C$7)))</f>
        <v/>
      </c>
      <c r="I117" s="46" t="str">
        <f aca="false">IF(OR(D117="",C117=""),IF(D117="","",0),SUMIFS(Payments!$D$8:$D$507,Payments!$C$8:$C$507,D117,Payments!$F$8:$F$507,C117))</f>
        <v/>
      </c>
      <c r="J117" s="46" t="str">
        <f aca="false">IF(D117="","",MIN(P117,MAX(0,R117-Q117)))</f>
        <v/>
      </c>
      <c r="K117" s="47" t="str">
        <f aca="false">IF(D117="","",P117-J117)</f>
        <v/>
      </c>
      <c r="L117" s="55" t="str">
        <f aca="false">IF(OR(D117="",N(K117)&lt;=0,H117=""),"",MAX(0,Setup!$C$11-H117))</f>
        <v/>
      </c>
      <c r="M117" s="54" t="str">
        <f aca="false">IF(OR(D117="",B117=""),"",IF(IFERROR(INDEX(Suppliers!$S$7:$S$106,MATCH(D117,Suppliers!$B$7:$B$106,0)),"")="","–",B117+IFERROR(INDEX(Suppliers!$S$7:$S$106,MATCH(D117,Suppliers!$B$7:$B$106,0)),"")))</f>
        <v/>
      </c>
      <c r="N117" s="56" t="str">
        <f aca="false">IF(D117="","",IF(N(K117)&lt;=0,"Paid",IF(AND(ISNUMBER(M117),Setup!$C$11&gt;M117),"⚠ MSME late",IF(N(L117)&gt;0,"Overdue",IF(N(V117)&lt;=Setup!$C$9,"⚠ MSME due soon",IF(K117&lt;E117,"Part paid","Not due"))))))</f>
        <v/>
      </c>
      <c r="O117" s="50" t="str">
        <f aca="false">IF(AND(D117="",B117="",C117="",E117=""),"",IF(D117="","⚠ Pick supplier",IF(ISNA(MATCH(D117,Suppliers!$B$7:$B$106,0)),"⚠ Supplier not in list",IF(B117="","⚠ Enter bill date",IF(N(E117)&lt;=0,"⚠ Enter amount",IF(AND(C117&lt;&gt;"",COUNTIFS($D$8:$D$507,D117,$C$8:$C$507,C117)&gt;1),"⚠ Bill no. used twice",IF(N(I117)&gt;N(E117),"⚠ Paid more than bill","✔")))))))</f>
        <v/>
      </c>
      <c r="P117" s="9" t="n">
        <f aca="false">IF(D117="",0,MAX(0,N(E117)-N(I117)))</f>
        <v>0</v>
      </c>
      <c r="Q117" s="9" t="n">
        <f aca="false">IF(D117="",0,SUMIFS($P$8:$P$507,$D$8:$D$507,D117,$B$8:$B$507,"&lt;"&amp;B117)+SUMIFS($P$8:P116,$D$8:D116,D117,$B$8:B116,B117))</f>
        <v>0</v>
      </c>
      <c r="R117" s="9" t="n">
        <f aca="false">IF(D117="",0,IFERROR(INDEX(Suppliers!$R$7:$R$106,MATCH(D117,Suppliers!$B$7:$B$106,0)),0))</f>
        <v>0</v>
      </c>
      <c r="S117" s="9" t="str">
        <f aca="false">IF(N(K117)&gt;0,IF(H117="",99999,MIN(H117,IF(ISNUMBER(M117),M117,H117)))+ROW()/100000,"")</f>
        <v/>
      </c>
      <c r="U117" s="9" t="n">
        <f aca="false">IF(N(K117)&gt;0,N(L117),0)</f>
        <v>0</v>
      </c>
      <c r="V117" s="9" t="n">
        <f aca="false">IF(AND(N(K117)&gt;0,ISNUMBER(M117)),M117-Setup!$C$11,99999)</f>
        <v>99999</v>
      </c>
    </row>
    <row r="118" customFormat="false" ht="15" hidden="false" customHeight="false" outlineLevel="0" collapsed="false">
      <c r="A118" s="40" t="str">
        <f aca="false">IF(D118="","",ROW()-7)</f>
        <v/>
      </c>
      <c r="B118" s="79"/>
      <c r="C118" s="75"/>
      <c r="D118" s="76"/>
      <c r="E118" s="80"/>
      <c r="F118" s="79"/>
      <c r="G118" s="76"/>
      <c r="H118" s="54" t="str">
        <f aca="false">IF(OR(D118="",B118=""),"",IF(F118&lt;&gt;"",F118,B118+IFERROR(INDEX(Suppliers!$Q$7:$Q$106,MATCH(D118,Suppliers!$B$7:$B$106,0)),Setup!$C$7)))</f>
        <v/>
      </c>
      <c r="I118" s="46" t="str">
        <f aca="false">IF(OR(D118="",C118=""),IF(D118="","",0),SUMIFS(Payments!$D$8:$D$507,Payments!$C$8:$C$507,D118,Payments!$F$8:$F$507,C118))</f>
        <v/>
      </c>
      <c r="J118" s="46" t="str">
        <f aca="false">IF(D118="","",MIN(P118,MAX(0,R118-Q118)))</f>
        <v/>
      </c>
      <c r="K118" s="47" t="str">
        <f aca="false">IF(D118="","",P118-J118)</f>
        <v/>
      </c>
      <c r="L118" s="55" t="str">
        <f aca="false">IF(OR(D118="",N(K118)&lt;=0,H118=""),"",MAX(0,Setup!$C$11-H118))</f>
        <v/>
      </c>
      <c r="M118" s="54" t="str">
        <f aca="false">IF(OR(D118="",B118=""),"",IF(IFERROR(INDEX(Suppliers!$S$7:$S$106,MATCH(D118,Suppliers!$B$7:$B$106,0)),"")="","–",B118+IFERROR(INDEX(Suppliers!$S$7:$S$106,MATCH(D118,Suppliers!$B$7:$B$106,0)),"")))</f>
        <v/>
      </c>
      <c r="N118" s="56" t="str">
        <f aca="false">IF(D118="","",IF(N(K118)&lt;=0,"Paid",IF(AND(ISNUMBER(M118),Setup!$C$11&gt;M118),"⚠ MSME late",IF(N(L118)&gt;0,"Overdue",IF(N(V118)&lt;=Setup!$C$9,"⚠ MSME due soon",IF(K118&lt;E118,"Part paid","Not due"))))))</f>
        <v/>
      </c>
      <c r="O118" s="50" t="str">
        <f aca="false">IF(AND(D118="",B118="",C118="",E118=""),"",IF(D118="","⚠ Pick supplier",IF(ISNA(MATCH(D118,Suppliers!$B$7:$B$106,0)),"⚠ Supplier not in list",IF(B118="","⚠ Enter bill date",IF(N(E118)&lt;=0,"⚠ Enter amount",IF(AND(C118&lt;&gt;"",COUNTIFS($D$8:$D$507,D118,$C$8:$C$507,C118)&gt;1),"⚠ Bill no. used twice",IF(N(I118)&gt;N(E118),"⚠ Paid more than bill","✔")))))))</f>
        <v/>
      </c>
      <c r="P118" s="9" t="n">
        <f aca="false">IF(D118="",0,MAX(0,N(E118)-N(I118)))</f>
        <v>0</v>
      </c>
      <c r="Q118" s="9" t="n">
        <f aca="false">IF(D118="",0,SUMIFS($P$8:$P$507,$D$8:$D$507,D118,$B$8:$B$507,"&lt;"&amp;B118)+SUMIFS($P$8:P117,$D$8:D117,D118,$B$8:B117,B118))</f>
        <v>0</v>
      </c>
      <c r="R118" s="9" t="n">
        <f aca="false">IF(D118="",0,IFERROR(INDEX(Suppliers!$R$7:$R$106,MATCH(D118,Suppliers!$B$7:$B$106,0)),0))</f>
        <v>0</v>
      </c>
      <c r="S118" s="9" t="str">
        <f aca="false">IF(N(K118)&gt;0,IF(H118="",99999,MIN(H118,IF(ISNUMBER(M118),M118,H118)))+ROW()/100000,"")</f>
        <v/>
      </c>
      <c r="U118" s="9" t="n">
        <f aca="false">IF(N(K118)&gt;0,N(L118),0)</f>
        <v>0</v>
      </c>
      <c r="V118" s="9" t="n">
        <f aca="false">IF(AND(N(K118)&gt;0,ISNUMBER(M118)),M118-Setup!$C$11,99999)</f>
        <v>99999</v>
      </c>
    </row>
    <row r="119" customFormat="false" ht="15" hidden="false" customHeight="false" outlineLevel="0" collapsed="false">
      <c r="A119" s="40" t="str">
        <f aca="false">IF(D119="","",ROW()-7)</f>
        <v/>
      </c>
      <c r="B119" s="79"/>
      <c r="C119" s="75"/>
      <c r="D119" s="76"/>
      <c r="E119" s="80"/>
      <c r="F119" s="79"/>
      <c r="G119" s="76"/>
      <c r="H119" s="54" t="str">
        <f aca="false">IF(OR(D119="",B119=""),"",IF(F119&lt;&gt;"",F119,B119+IFERROR(INDEX(Suppliers!$Q$7:$Q$106,MATCH(D119,Suppliers!$B$7:$B$106,0)),Setup!$C$7)))</f>
        <v/>
      </c>
      <c r="I119" s="46" t="str">
        <f aca="false">IF(OR(D119="",C119=""),IF(D119="","",0),SUMIFS(Payments!$D$8:$D$507,Payments!$C$8:$C$507,D119,Payments!$F$8:$F$507,C119))</f>
        <v/>
      </c>
      <c r="J119" s="46" t="str">
        <f aca="false">IF(D119="","",MIN(P119,MAX(0,R119-Q119)))</f>
        <v/>
      </c>
      <c r="K119" s="47" t="str">
        <f aca="false">IF(D119="","",P119-J119)</f>
        <v/>
      </c>
      <c r="L119" s="55" t="str">
        <f aca="false">IF(OR(D119="",N(K119)&lt;=0,H119=""),"",MAX(0,Setup!$C$11-H119))</f>
        <v/>
      </c>
      <c r="M119" s="54" t="str">
        <f aca="false">IF(OR(D119="",B119=""),"",IF(IFERROR(INDEX(Suppliers!$S$7:$S$106,MATCH(D119,Suppliers!$B$7:$B$106,0)),"")="","–",B119+IFERROR(INDEX(Suppliers!$S$7:$S$106,MATCH(D119,Suppliers!$B$7:$B$106,0)),"")))</f>
        <v/>
      </c>
      <c r="N119" s="56" t="str">
        <f aca="false">IF(D119="","",IF(N(K119)&lt;=0,"Paid",IF(AND(ISNUMBER(M119),Setup!$C$11&gt;M119),"⚠ MSME late",IF(N(L119)&gt;0,"Overdue",IF(N(V119)&lt;=Setup!$C$9,"⚠ MSME due soon",IF(K119&lt;E119,"Part paid","Not due"))))))</f>
        <v/>
      </c>
      <c r="O119" s="50" t="str">
        <f aca="false">IF(AND(D119="",B119="",C119="",E119=""),"",IF(D119="","⚠ Pick supplier",IF(ISNA(MATCH(D119,Suppliers!$B$7:$B$106,0)),"⚠ Supplier not in list",IF(B119="","⚠ Enter bill date",IF(N(E119)&lt;=0,"⚠ Enter amount",IF(AND(C119&lt;&gt;"",COUNTIFS($D$8:$D$507,D119,$C$8:$C$507,C119)&gt;1),"⚠ Bill no. used twice",IF(N(I119)&gt;N(E119),"⚠ Paid more than bill","✔")))))))</f>
        <v/>
      </c>
      <c r="P119" s="9" t="n">
        <f aca="false">IF(D119="",0,MAX(0,N(E119)-N(I119)))</f>
        <v>0</v>
      </c>
      <c r="Q119" s="9" t="n">
        <f aca="false">IF(D119="",0,SUMIFS($P$8:$P$507,$D$8:$D$507,D119,$B$8:$B$507,"&lt;"&amp;B119)+SUMIFS($P$8:P118,$D$8:D118,D119,$B$8:B118,B119))</f>
        <v>0</v>
      </c>
      <c r="R119" s="9" t="n">
        <f aca="false">IF(D119="",0,IFERROR(INDEX(Suppliers!$R$7:$R$106,MATCH(D119,Suppliers!$B$7:$B$106,0)),0))</f>
        <v>0</v>
      </c>
      <c r="S119" s="9" t="str">
        <f aca="false">IF(N(K119)&gt;0,IF(H119="",99999,MIN(H119,IF(ISNUMBER(M119),M119,H119)))+ROW()/100000,"")</f>
        <v/>
      </c>
      <c r="U119" s="9" t="n">
        <f aca="false">IF(N(K119)&gt;0,N(L119),0)</f>
        <v>0</v>
      </c>
      <c r="V119" s="9" t="n">
        <f aca="false">IF(AND(N(K119)&gt;0,ISNUMBER(M119)),M119-Setup!$C$11,99999)</f>
        <v>99999</v>
      </c>
    </row>
    <row r="120" customFormat="false" ht="15" hidden="false" customHeight="false" outlineLevel="0" collapsed="false">
      <c r="A120" s="40" t="str">
        <f aca="false">IF(D120="","",ROW()-7)</f>
        <v/>
      </c>
      <c r="B120" s="79"/>
      <c r="C120" s="75"/>
      <c r="D120" s="76"/>
      <c r="E120" s="80"/>
      <c r="F120" s="79"/>
      <c r="G120" s="76"/>
      <c r="H120" s="54" t="str">
        <f aca="false">IF(OR(D120="",B120=""),"",IF(F120&lt;&gt;"",F120,B120+IFERROR(INDEX(Suppliers!$Q$7:$Q$106,MATCH(D120,Suppliers!$B$7:$B$106,0)),Setup!$C$7)))</f>
        <v/>
      </c>
      <c r="I120" s="46" t="str">
        <f aca="false">IF(OR(D120="",C120=""),IF(D120="","",0),SUMIFS(Payments!$D$8:$D$507,Payments!$C$8:$C$507,D120,Payments!$F$8:$F$507,C120))</f>
        <v/>
      </c>
      <c r="J120" s="46" t="str">
        <f aca="false">IF(D120="","",MIN(P120,MAX(0,R120-Q120)))</f>
        <v/>
      </c>
      <c r="K120" s="47" t="str">
        <f aca="false">IF(D120="","",P120-J120)</f>
        <v/>
      </c>
      <c r="L120" s="55" t="str">
        <f aca="false">IF(OR(D120="",N(K120)&lt;=0,H120=""),"",MAX(0,Setup!$C$11-H120))</f>
        <v/>
      </c>
      <c r="M120" s="54" t="str">
        <f aca="false">IF(OR(D120="",B120=""),"",IF(IFERROR(INDEX(Suppliers!$S$7:$S$106,MATCH(D120,Suppliers!$B$7:$B$106,0)),"")="","–",B120+IFERROR(INDEX(Suppliers!$S$7:$S$106,MATCH(D120,Suppliers!$B$7:$B$106,0)),"")))</f>
        <v/>
      </c>
      <c r="N120" s="56" t="str">
        <f aca="false">IF(D120="","",IF(N(K120)&lt;=0,"Paid",IF(AND(ISNUMBER(M120),Setup!$C$11&gt;M120),"⚠ MSME late",IF(N(L120)&gt;0,"Overdue",IF(N(V120)&lt;=Setup!$C$9,"⚠ MSME due soon",IF(K120&lt;E120,"Part paid","Not due"))))))</f>
        <v/>
      </c>
      <c r="O120" s="50" t="str">
        <f aca="false">IF(AND(D120="",B120="",C120="",E120=""),"",IF(D120="","⚠ Pick supplier",IF(ISNA(MATCH(D120,Suppliers!$B$7:$B$106,0)),"⚠ Supplier not in list",IF(B120="","⚠ Enter bill date",IF(N(E120)&lt;=0,"⚠ Enter amount",IF(AND(C120&lt;&gt;"",COUNTIFS($D$8:$D$507,D120,$C$8:$C$507,C120)&gt;1),"⚠ Bill no. used twice",IF(N(I120)&gt;N(E120),"⚠ Paid more than bill","✔")))))))</f>
        <v/>
      </c>
      <c r="P120" s="9" t="n">
        <f aca="false">IF(D120="",0,MAX(0,N(E120)-N(I120)))</f>
        <v>0</v>
      </c>
      <c r="Q120" s="9" t="n">
        <f aca="false">IF(D120="",0,SUMIFS($P$8:$P$507,$D$8:$D$507,D120,$B$8:$B$507,"&lt;"&amp;B120)+SUMIFS($P$8:P119,$D$8:D119,D120,$B$8:B119,B120))</f>
        <v>0</v>
      </c>
      <c r="R120" s="9" t="n">
        <f aca="false">IF(D120="",0,IFERROR(INDEX(Suppliers!$R$7:$R$106,MATCH(D120,Suppliers!$B$7:$B$106,0)),0))</f>
        <v>0</v>
      </c>
      <c r="S120" s="9" t="str">
        <f aca="false">IF(N(K120)&gt;0,IF(H120="",99999,MIN(H120,IF(ISNUMBER(M120),M120,H120)))+ROW()/100000,"")</f>
        <v/>
      </c>
      <c r="U120" s="9" t="n">
        <f aca="false">IF(N(K120)&gt;0,N(L120),0)</f>
        <v>0</v>
      </c>
      <c r="V120" s="9" t="n">
        <f aca="false">IF(AND(N(K120)&gt;0,ISNUMBER(M120)),M120-Setup!$C$11,99999)</f>
        <v>99999</v>
      </c>
    </row>
    <row r="121" customFormat="false" ht="15" hidden="false" customHeight="false" outlineLevel="0" collapsed="false">
      <c r="A121" s="40" t="str">
        <f aca="false">IF(D121="","",ROW()-7)</f>
        <v/>
      </c>
      <c r="B121" s="79"/>
      <c r="C121" s="75"/>
      <c r="D121" s="76"/>
      <c r="E121" s="80"/>
      <c r="F121" s="79"/>
      <c r="G121" s="76"/>
      <c r="H121" s="54" t="str">
        <f aca="false">IF(OR(D121="",B121=""),"",IF(F121&lt;&gt;"",F121,B121+IFERROR(INDEX(Suppliers!$Q$7:$Q$106,MATCH(D121,Suppliers!$B$7:$B$106,0)),Setup!$C$7)))</f>
        <v/>
      </c>
      <c r="I121" s="46" t="str">
        <f aca="false">IF(OR(D121="",C121=""),IF(D121="","",0),SUMIFS(Payments!$D$8:$D$507,Payments!$C$8:$C$507,D121,Payments!$F$8:$F$507,C121))</f>
        <v/>
      </c>
      <c r="J121" s="46" t="str">
        <f aca="false">IF(D121="","",MIN(P121,MAX(0,R121-Q121)))</f>
        <v/>
      </c>
      <c r="K121" s="47" t="str">
        <f aca="false">IF(D121="","",P121-J121)</f>
        <v/>
      </c>
      <c r="L121" s="55" t="str">
        <f aca="false">IF(OR(D121="",N(K121)&lt;=0,H121=""),"",MAX(0,Setup!$C$11-H121))</f>
        <v/>
      </c>
      <c r="M121" s="54" t="str">
        <f aca="false">IF(OR(D121="",B121=""),"",IF(IFERROR(INDEX(Suppliers!$S$7:$S$106,MATCH(D121,Suppliers!$B$7:$B$106,0)),"")="","–",B121+IFERROR(INDEX(Suppliers!$S$7:$S$106,MATCH(D121,Suppliers!$B$7:$B$106,0)),"")))</f>
        <v/>
      </c>
      <c r="N121" s="56" t="str">
        <f aca="false">IF(D121="","",IF(N(K121)&lt;=0,"Paid",IF(AND(ISNUMBER(M121),Setup!$C$11&gt;M121),"⚠ MSME late",IF(N(L121)&gt;0,"Overdue",IF(N(V121)&lt;=Setup!$C$9,"⚠ MSME due soon",IF(K121&lt;E121,"Part paid","Not due"))))))</f>
        <v/>
      </c>
      <c r="O121" s="50" t="str">
        <f aca="false">IF(AND(D121="",B121="",C121="",E121=""),"",IF(D121="","⚠ Pick supplier",IF(ISNA(MATCH(D121,Suppliers!$B$7:$B$106,0)),"⚠ Supplier not in list",IF(B121="","⚠ Enter bill date",IF(N(E121)&lt;=0,"⚠ Enter amount",IF(AND(C121&lt;&gt;"",COUNTIFS($D$8:$D$507,D121,$C$8:$C$507,C121)&gt;1),"⚠ Bill no. used twice",IF(N(I121)&gt;N(E121),"⚠ Paid more than bill","✔")))))))</f>
        <v/>
      </c>
      <c r="P121" s="9" t="n">
        <f aca="false">IF(D121="",0,MAX(0,N(E121)-N(I121)))</f>
        <v>0</v>
      </c>
      <c r="Q121" s="9" t="n">
        <f aca="false">IF(D121="",0,SUMIFS($P$8:$P$507,$D$8:$D$507,D121,$B$8:$B$507,"&lt;"&amp;B121)+SUMIFS($P$8:P120,$D$8:D120,D121,$B$8:B120,B121))</f>
        <v>0</v>
      </c>
      <c r="R121" s="9" t="n">
        <f aca="false">IF(D121="",0,IFERROR(INDEX(Suppliers!$R$7:$R$106,MATCH(D121,Suppliers!$B$7:$B$106,0)),0))</f>
        <v>0</v>
      </c>
      <c r="S121" s="9" t="str">
        <f aca="false">IF(N(K121)&gt;0,IF(H121="",99999,MIN(H121,IF(ISNUMBER(M121),M121,H121)))+ROW()/100000,"")</f>
        <v/>
      </c>
      <c r="U121" s="9" t="n">
        <f aca="false">IF(N(K121)&gt;0,N(L121),0)</f>
        <v>0</v>
      </c>
      <c r="V121" s="9" t="n">
        <f aca="false">IF(AND(N(K121)&gt;0,ISNUMBER(M121)),M121-Setup!$C$11,99999)</f>
        <v>99999</v>
      </c>
    </row>
    <row r="122" customFormat="false" ht="15" hidden="false" customHeight="false" outlineLevel="0" collapsed="false">
      <c r="A122" s="40" t="str">
        <f aca="false">IF(D122="","",ROW()-7)</f>
        <v/>
      </c>
      <c r="B122" s="79"/>
      <c r="C122" s="75"/>
      <c r="D122" s="76"/>
      <c r="E122" s="80"/>
      <c r="F122" s="79"/>
      <c r="G122" s="76"/>
      <c r="H122" s="54" t="str">
        <f aca="false">IF(OR(D122="",B122=""),"",IF(F122&lt;&gt;"",F122,B122+IFERROR(INDEX(Suppliers!$Q$7:$Q$106,MATCH(D122,Suppliers!$B$7:$B$106,0)),Setup!$C$7)))</f>
        <v/>
      </c>
      <c r="I122" s="46" t="str">
        <f aca="false">IF(OR(D122="",C122=""),IF(D122="","",0),SUMIFS(Payments!$D$8:$D$507,Payments!$C$8:$C$507,D122,Payments!$F$8:$F$507,C122))</f>
        <v/>
      </c>
      <c r="J122" s="46" t="str">
        <f aca="false">IF(D122="","",MIN(P122,MAX(0,R122-Q122)))</f>
        <v/>
      </c>
      <c r="K122" s="47" t="str">
        <f aca="false">IF(D122="","",P122-J122)</f>
        <v/>
      </c>
      <c r="L122" s="55" t="str">
        <f aca="false">IF(OR(D122="",N(K122)&lt;=0,H122=""),"",MAX(0,Setup!$C$11-H122))</f>
        <v/>
      </c>
      <c r="M122" s="54" t="str">
        <f aca="false">IF(OR(D122="",B122=""),"",IF(IFERROR(INDEX(Suppliers!$S$7:$S$106,MATCH(D122,Suppliers!$B$7:$B$106,0)),"")="","–",B122+IFERROR(INDEX(Suppliers!$S$7:$S$106,MATCH(D122,Suppliers!$B$7:$B$106,0)),"")))</f>
        <v/>
      </c>
      <c r="N122" s="56" t="str">
        <f aca="false">IF(D122="","",IF(N(K122)&lt;=0,"Paid",IF(AND(ISNUMBER(M122),Setup!$C$11&gt;M122),"⚠ MSME late",IF(N(L122)&gt;0,"Overdue",IF(N(V122)&lt;=Setup!$C$9,"⚠ MSME due soon",IF(K122&lt;E122,"Part paid","Not due"))))))</f>
        <v/>
      </c>
      <c r="O122" s="50" t="str">
        <f aca="false">IF(AND(D122="",B122="",C122="",E122=""),"",IF(D122="","⚠ Pick supplier",IF(ISNA(MATCH(D122,Suppliers!$B$7:$B$106,0)),"⚠ Supplier not in list",IF(B122="","⚠ Enter bill date",IF(N(E122)&lt;=0,"⚠ Enter amount",IF(AND(C122&lt;&gt;"",COUNTIFS($D$8:$D$507,D122,$C$8:$C$507,C122)&gt;1),"⚠ Bill no. used twice",IF(N(I122)&gt;N(E122),"⚠ Paid more than bill","✔")))))))</f>
        <v/>
      </c>
      <c r="P122" s="9" t="n">
        <f aca="false">IF(D122="",0,MAX(0,N(E122)-N(I122)))</f>
        <v>0</v>
      </c>
      <c r="Q122" s="9" t="n">
        <f aca="false">IF(D122="",0,SUMIFS($P$8:$P$507,$D$8:$D$507,D122,$B$8:$B$507,"&lt;"&amp;B122)+SUMIFS($P$8:P121,$D$8:D121,D122,$B$8:B121,B122))</f>
        <v>0</v>
      </c>
      <c r="R122" s="9" t="n">
        <f aca="false">IF(D122="",0,IFERROR(INDEX(Suppliers!$R$7:$R$106,MATCH(D122,Suppliers!$B$7:$B$106,0)),0))</f>
        <v>0</v>
      </c>
      <c r="S122" s="9" t="str">
        <f aca="false">IF(N(K122)&gt;0,IF(H122="",99999,MIN(H122,IF(ISNUMBER(M122),M122,H122)))+ROW()/100000,"")</f>
        <v/>
      </c>
      <c r="U122" s="9" t="n">
        <f aca="false">IF(N(K122)&gt;0,N(L122),0)</f>
        <v>0</v>
      </c>
      <c r="V122" s="9" t="n">
        <f aca="false">IF(AND(N(K122)&gt;0,ISNUMBER(M122)),M122-Setup!$C$11,99999)</f>
        <v>99999</v>
      </c>
    </row>
    <row r="123" customFormat="false" ht="15" hidden="false" customHeight="false" outlineLevel="0" collapsed="false">
      <c r="A123" s="40" t="str">
        <f aca="false">IF(D123="","",ROW()-7)</f>
        <v/>
      </c>
      <c r="B123" s="79"/>
      <c r="C123" s="75"/>
      <c r="D123" s="76"/>
      <c r="E123" s="80"/>
      <c r="F123" s="79"/>
      <c r="G123" s="76"/>
      <c r="H123" s="54" t="str">
        <f aca="false">IF(OR(D123="",B123=""),"",IF(F123&lt;&gt;"",F123,B123+IFERROR(INDEX(Suppliers!$Q$7:$Q$106,MATCH(D123,Suppliers!$B$7:$B$106,0)),Setup!$C$7)))</f>
        <v/>
      </c>
      <c r="I123" s="46" t="str">
        <f aca="false">IF(OR(D123="",C123=""),IF(D123="","",0),SUMIFS(Payments!$D$8:$D$507,Payments!$C$8:$C$507,D123,Payments!$F$8:$F$507,C123))</f>
        <v/>
      </c>
      <c r="J123" s="46" t="str">
        <f aca="false">IF(D123="","",MIN(P123,MAX(0,R123-Q123)))</f>
        <v/>
      </c>
      <c r="K123" s="47" t="str">
        <f aca="false">IF(D123="","",P123-J123)</f>
        <v/>
      </c>
      <c r="L123" s="55" t="str">
        <f aca="false">IF(OR(D123="",N(K123)&lt;=0,H123=""),"",MAX(0,Setup!$C$11-H123))</f>
        <v/>
      </c>
      <c r="M123" s="54" t="str">
        <f aca="false">IF(OR(D123="",B123=""),"",IF(IFERROR(INDEX(Suppliers!$S$7:$S$106,MATCH(D123,Suppliers!$B$7:$B$106,0)),"")="","–",B123+IFERROR(INDEX(Suppliers!$S$7:$S$106,MATCH(D123,Suppliers!$B$7:$B$106,0)),"")))</f>
        <v/>
      </c>
      <c r="N123" s="56" t="str">
        <f aca="false">IF(D123="","",IF(N(K123)&lt;=0,"Paid",IF(AND(ISNUMBER(M123),Setup!$C$11&gt;M123),"⚠ MSME late",IF(N(L123)&gt;0,"Overdue",IF(N(V123)&lt;=Setup!$C$9,"⚠ MSME due soon",IF(K123&lt;E123,"Part paid","Not due"))))))</f>
        <v/>
      </c>
      <c r="O123" s="50" t="str">
        <f aca="false">IF(AND(D123="",B123="",C123="",E123=""),"",IF(D123="","⚠ Pick supplier",IF(ISNA(MATCH(D123,Suppliers!$B$7:$B$106,0)),"⚠ Supplier not in list",IF(B123="","⚠ Enter bill date",IF(N(E123)&lt;=0,"⚠ Enter amount",IF(AND(C123&lt;&gt;"",COUNTIFS($D$8:$D$507,D123,$C$8:$C$507,C123)&gt;1),"⚠ Bill no. used twice",IF(N(I123)&gt;N(E123),"⚠ Paid more than bill","✔")))))))</f>
        <v/>
      </c>
      <c r="P123" s="9" t="n">
        <f aca="false">IF(D123="",0,MAX(0,N(E123)-N(I123)))</f>
        <v>0</v>
      </c>
      <c r="Q123" s="9" t="n">
        <f aca="false">IF(D123="",0,SUMIFS($P$8:$P$507,$D$8:$D$507,D123,$B$8:$B$507,"&lt;"&amp;B123)+SUMIFS($P$8:P122,$D$8:D122,D123,$B$8:B122,B123))</f>
        <v>0</v>
      </c>
      <c r="R123" s="9" t="n">
        <f aca="false">IF(D123="",0,IFERROR(INDEX(Suppliers!$R$7:$R$106,MATCH(D123,Suppliers!$B$7:$B$106,0)),0))</f>
        <v>0</v>
      </c>
      <c r="S123" s="9" t="str">
        <f aca="false">IF(N(K123)&gt;0,IF(H123="",99999,MIN(H123,IF(ISNUMBER(M123),M123,H123)))+ROW()/100000,"")</f>
        <v/>
      </c>
      <c r="U123" s="9" t="n">
        <f aca="false">IF(N(K123)&gt;0,N(L123),0)</f>
        <v>0</v>
      </c>
      <c r="V123" s="9" t="n">
        <f aca="false">IF(AND(N(K123)&gt;0,ISNUMBER(M123)),M123-Setup!$C$11,99999)</f>
        <v>99999</v>
      </c>
    </row>
    <row r="124" customFormat="false" ht="15" hidden="false" customHeight="false" outlineLevel="0" collapsed="false">
      <c r="A124" s="40" t="str">
        <f aca="false">IF(D124="","",ROW()-7)</f>
        <v/>
      </c>
      <c r="B124" s="79"/>
      <c r="C124" s="75"/>
      <c r="D124" s="76"/>
      <c r="E124" s="80"/>
      <c r="F124" s="79"/>
      <c r="G124" s="76"/>
      <c r="H124" s="54" t="str">
        <f aca="false">IF(OR(D124="",B124=""),"",IF(F124&lt;&gt;"",F124,B124+IFERROR(INDEX(Suppliers!$Q$7:$Q$106,MATCH(D124,Suppliers!$B$7:$B$106,0)),Setup!$C$7)))</f>
        <v/>
      </c>
      <c r="I124" s="46" t="str">
        <f aca="false">IF(OR(D124="",C124=""),IF(D124="","",0),SUMIFS(Payments!$D$8:$D$507,Payments!$C$8:$C$507,D124,Payments!$F$8:$F$507,C124))</f>
        <v/>
      </c>
      <c r="J124" s="46" t="str">
        <f aca="false">IF(D124="","",MIN(P124,MAX(0,R124-Q124)))</f>
        <v/>
      </c>
      <c r="K124" s="47" t="str">
        <f aca="false">IF(D124="","",P124-J124)</f>
        <v/>
      </c>
      <c r="L124" s="55" t="str">
        <f aca="false">IF(OR(D124="",N(K124)&lt;=0,H124=""),"",MAX(0,Setup!$C$11-H124))</f>
        <v/>
      </c>
      <c r="M124" s="54" t="str">
        <f aca="false">IF(OR(D124="",B124=""),"",IF(IFERROR(INDEX(Suppliers!$S$7:$S$106,MATCH(D124,Suppliers!$B$7:$B$106,0)),"")="","–",B124+IFERROR(INDEX(Suppliers!$S$7:$S$106,MATCH(D124,Suppliers!$B$7:$B$106,0)),"")))</f>
        <v/>
      </c>
      <c r="N124" s="56" t="str">
        <f aca="false">IF(D124="","",IF(N(K124)&lt;=0,"Paid",IF(AND(ISNUMBER(M124),Setup!$C$11&gt;M124),"⚠ MSME late",IF(N(L124)&gt;0,"Overdue",IF(N(V124)&lt;=Setup!$C$9,"⚠ MSME due soon",IF(K124&lt;E124,"Part paid","Not due"))))))</f>
        <v/>
      </c>
      <c r="O124" s="50" t="str">
        <f aca="false">IF(AND(D124="",B124="",C124="",E124=""),"",IF(D124="","⚠ Pick supplier",IF(ISNA(MATCH(D124,Suppliers!$B$7:$B$106,0)),"⚠ Supplier not in list",IF(B124="","⚠ Enter bill date",IF(N(E124)&lt;=0,"⚠ Enter amount",IF(AND(C124&lt;&gt;"",COUNTIFS($D$8:$D$507,D124,$C$8:$C$507,C124)&gt;1),"⚠ Bill no. used twice",IF(N(I124)&gt;N(E124),"⚠ Paid more than bill","✔")))))))</f>
        <v/>
      </c>
      <c r="P124" s="9" t="n">
        <f aca="false">IF(D124="",0,MAX(0,N(E124)-N(I124)))</f>
        <v>0</v>
      </c>
      <c r="Q124" s="9" t="n">
        <f aca="false">IF(D124="",0,SUMIFS($P$8:$P$507,$D$8:$D$507,D124,$B$8:$B$507,"&lt;"&amp;B124)+SUMIFS($P$8:P123,$D$8:D123,D124,$B$8:B123,B124))</f>
        <v>0</v>
      </c>
      <c r="R124" s="9" t="n">
        <f aca="false">IF(D124="",0,IFERROR(INDEX(Suppliers!$R$7:$R$106,MATCH(D124,Suppliers!$B$7:$B$106,0)),0))</f>
        <v>0</v>
      </c>
      <c r="S124" s="9" t="str">
        <f aca="false">IF(N(K124)&gt;0,IF(H124="",99999,MIN(H124,IF(ISNUMBER(M124),M124,H124)))+ROW()/100000,"")</f>
        <v/>
      </c>
      <c r="U124" s="9" t="n">
        <f aca="false">IF(N(K124)&gt;0,N(L124),0)</f>
        <v>0</v>
      </c>
      <c r="V124" s="9" t="n">
        <f aca="false">IF(AND(N(K124)&gt;0,ISNUMBER(M124)),M124-Setup!$C$11,99999)</f>
        <v>99999</v>
      </c>
    </row>
    <row r="125" customFormat="false" ht="15" hidden="false" customHeight="false" outlineLevel="0" collapsed="false">
      <c r="A125" s="40" t="str">
        <f aca="false">IF(D125="","",ROW()-7)</f>
        <v/>
      </c>
      <c r="B125" s="79"/>
      <c r="C125" s="75"/>
      <c r="D125" s="76"/>
      <c r="E125" s="80"/>
      <c r="F125" s="79"/>
      <c r="G125" s="76"/>
      <c r="H125" s="54" t="str">
        <f aca="false">IF(OR(D125="",B125=""),"",IF(F125&lt;&gt;"",F125,B125+IFERROR(INDEX(Suppliers!$Q$7:$Q$106,MATCH(D125,Suppliers!$B$7:$B$106,0)),Setup!$C$7)))</f>
        <v/>
      </c>
      <c r="I125" s="46" t="str">
        <f aca="false">IF(OR(D125="",C125=""),IF(D125="","",0),SUMIFS(Payments!$D$8:$D$507,Payments!$C$8:$C$507,D125,Payments!$F$8:$F$507,C125))</f>
        <v/>
      </c>
      <c r="J125" s="46" t="str">
        <f aca="false">IF(D125="","",MIN(P125,MAX(0,R125-Q125)))</f>
        <v/>
      </c>
      <c r="K125" s="47" t="str">
        <f aca="false">IF(D125="","",P125-J125)</f>
        <v/>
      </c>
      <c r="L125" s="55" t="str">
        <f aca="false">IF(OR(D125="",N(K125)&lt;=0,H125=""),"",MAX(0,Setup!$C$11-H125))</f>
        <v/>
      </c>
      <c r="M125" s="54" t="str">
        <f aca="false">IF(OR(D125="",B125=""),"",IF(IFERROR(INDEX(Suppliers!$S$7:$S$106,MATCH(D125,Suppliers!$B$7:$B$106,0)),"")="","–",B125+IFERROR(INDEX(Suppliers!$S$7:$S$106,MATCH(D125,Suppliers!$B$7:$B$106,0)),"")))</f>
        <v/>
      </c>
      <c r="N125" s="56" t="str">
        <f aca="false">IF(D125="","",IF(N(K125)&lt;=0,"Paid",IF(AND(ISNUMBER(M125),Setup!$C$11&gt;M125),"⚠ MSME late",IF(N(L125)&gt;0,"Overdue",IF(N(V125)&lt;=Setup!$C$9,"⚠ MSME due soon",IF(K125&lt;E125,"Part paid","Not due"))))))</f>
        <v/>
      </c>
      <c r="O125" s="50" t="str">
        <f aca="false">IF(AND(D125="",B125="",C125="",E125=""),"",IF(D125="","⚠ Pick supplier",IF(ISNA(MATCH(D125,Suppliers!$B$7:$B$106,0)),"⚠ Supplier not in list",IF(B125="","⚠ Enter bill date",IF(N(E125)&lt;=0,"⚠ Enter amount",IF(AND(C125&lt;&gt;"",COUNTIFS($D$8:$D$507,D125,$C$8:$C$507,C125)&gt;1),"⚠ Bill no. used twice",IF(N(I125)&gt;N(E125),"⚠ Paid more than bill","✔")))))))</f>
        <v/>
      </c>
      <c r="P125" s="9" t="n">
        <f aca="false">IF(D125="",0,MAX(0,N(E125)-N(I125)))</f>
        <v>0</v>
      </c>
      <c r="Q125" s="9" t="n">
        <f aca="false">IF(D125="",0,SUMIFS($P$8:$P$507,$D$8:$D$507,D125,$B$8:$B$507,"&lt;"&amp;B125)+SUMIFS($P$8:P124,$D$8:D124,D125,$B$8:B124,B125))</f>
        <v>0</v>
      </c>
      <c r="R125" s="9" t="n">
        <f aca="false">IF(D125="",0,IFERROR(INDEX(Suppliers!$R$7:$R$106,MATCH(D125,Suppliers!$B$7:$B$106,0)),0))</f>
        <v>0</v>
      </c>
      <c r="S125" s="9" t="str">
        <f aca="false">IF(N(K125)&gt;0,IF(H125="",99999,MIN(H125,IF(ISNUMBER(M125),M125,H125)))+ROW()/100000,"")</f>
        <v/>
      </c>
      <c r="U125" s="9" t="n">
        <f aca="false">IF(N(K125)&gt;0,N(L125),0)</f>
        <v>0</v>
      </c>
      <c r="V125" s="9" t="n">
        <f aca="false">IF(AND(N(K125)&gt;0,ISNUMBER(M125)),M125-Setup!$C$11,99999)</f>
        <v>99999</v>
      </c>
    </row>
    <row r="126" customFormat="false" ht="15" hidden="false" customHeight="false" outlineLevel="0" collapsed="false">
      <c r="A126" s="40" t="str">
        <f aca="false">IF(D126="","",ROW()-7)</f>
        <v/>
      </c>
      <c r="B126" s="79"/>
      <c r="C126" s="75"/>
      <c r="D126" s="76"/>
      <c r="E126" s="80"/>
      <c r="F126" s="79"/>
      <c r="G126" s="76"/>
      <c r="H126" s="54" t="str">
        <f aca="false">IF(OR(D126="",B126=""),"",IF(F126&lt;&gt;"",F126,B126+IFERROR(INDEX(Suppliers!$Q$7:$Q$106,MATCH(D126,Suppliers!$B$7:$B$106,0)),Setup!$C$7)))</f>
        <v/>
      </c>
      <c r="I126" s="46" t="str">
        <f aca="false">IF(OR(D126="",C126=""),IF(D126="","",0),SUMIFS(Payments!$D$8:$D$507,Payments!$C$8:$C$507,D126,Payments!$F$8:$F$507,C126))</f>
        <v/>
      </c>
      <c r="J126" s="46" t="str">
        <f aca="false">IF(D126="","",MIN(P126,MAX(0,R126-Q126)))</f>
        <v/>
      </c>
      <c r="K126" s="47" t="str">
        <f aca="false">IF(D126="","",P126-J126)</f>
        <v/>
      </c>
      <c r="L126" s="55" t="str">
        <f aca="false">IF(OR(D126="",N(K126)&lt;=0,H126=""),"",MAX(0,Setup!$C$11-H126))</f>
        <v/>
      </c>
      <c r="M126" s="54" t="str">
        <f aca="false">IF(OR(D126="",B126=""),"",IF(IFERROR(INDEX(Suppliers!$S$7:$S$106,MATCH(D126,Suppliers!$B$7:$B$106,0)),"")="","–",B126+IFERROR(INDEX(Suppliers!$S$7:$S$106,MATCH(D126,Suppliers!$B$7:$B$106,0)),"")))</f>
        <v/>
      </c>
      <c r="N126" s="56" t="str">
        <f aca="false">IF(D126="","",IF(N(K126)&lt;=0,"Paid",IF(AND(ISNUMBER(M126),Setup!$C$11&gt;M126),"⚠ MSME late",IF(N(L126)&gt;0,"Overdue",IF(N(V126)&lt;=Setup!$C$9,"⚠ MSME due soon",IF(K126&lt;E126,"Part paid","Not due"))))))</f>
        <v/>
      </c>
      <c r="O126" s="50" t="str">
        <f aca="false">IF(AND(D126="",B126="",C126="",E126=""),"",IF(D126="","⚠ Pick supplier",IF(ISNA(MATCH(D126,Suppliers!$B$7:$B$106,0)),"⚠ Supplier not in list",IF(B126="","⚠ Enter bill date",IF(N(E126)&lt;=0,"⚠ Enter amount",IF(AND(C126&lt;&gt;"",COUNTIFS($D$8:$D$507,D126,$C$8:$C$507,C126)&gt;1),"⚠ Bill no. used twice",IF(N(I126)&gt;N(E126),"⚠ Paid more than bill","✔")))))))</f>
        <v/>
      </c>
      <c r="P126" s="9" t="n">
        <f aca="false">IF(D126="",0,MAX(0,N(E126)-N(I126)))</f>
        <v>0</v>
      </c>
      <c r="Q126" s="9" t="n">
        <f aca="false">IF(D126="",0,SUMIFS($P$8:$P$507,$D$8:$D$507,D126,$B$8:$B$507,"&lt;"&amp;B126)+SUMIFS($P$8:P125,$D$8:D125,D126,$B$8:B125,B126))</f>
        <v>0</v>
      </c>
      <c r="R126" s="9" t="n">
        <f aca="false">IF(D126="",0,IFERROR(INDEX(Suppliers!$R$7:$R$106,MATCH(D126,Suppliers!$B$7:$B$106,0)),0))</f>
        <v>0</v>
      </c>
      <c r="S126" s="9" t="str">
        <f aca="false">IF(N(K126)&gt;0,IF(H126="",99999,MIN(H126,IF(ISNUMBER(M126),M126,H126)))+ROW()/100000,"")</f>
        <v/>
      </c>
      <c r="U126" s="9" t="n">
        <f aca="false">IF(N(K126)&gt;0,N(L126),0)</f>
        <v>0</v>
      </c>
      <c r="V126" s="9" t="n">
        <f aca="false">IF(AND(N(K126)&gt;0,ISNUMBER(M126)),M126-Setup!$C$11,99999)</f>
        <v>99999</v>
      </c>
    </row>
    <row r="127" customFormat="false" ht="15" hidden="false" customHeight="false" outlineLevel="0" collapsed="false">
      <c r="A127" s="40" t="str">
        <f aca="false">IF(D127="","",ROW()-7)</f>
        <v/>
      </c>
      <c r="B127" s="79"/>
      <c r="C127" s="75"/>
      <c r="D127" s="76"/>
      <c r="E127" s="80"/>
      <c r="F127" s="79"/>
      <c r="G127" s="76"/>
      <c r="H127" s="54" t="str">
        <f aca="false">IF(OR(D127="",B127=""),"",IF(F127&lt;&gt;"",F127,B127+IFERROR(INDEX(Suppliers!$Q$7:$Q$106,MATCH(D127,Suppliers!$B$7:$B$106,0)),Setup!$C$7)))</f>
        <v/>
      </c>
      <c r="I127" s="46" t="str">
        <f aca="false">IF(OR(D127="",C127=""),IF(D127="","",0),SUMIFS(Payments!$D$8:$D$507,Payments!$C$8:$C$507,D127,Payments!$F$8:$F$507,C127))</f>
        <v/>
      </c>
      <c r="J127" s="46" t="str">
        <f aca="false">IF(D127="","",MIN(P127,MAX(0,R127-Q127)))</f>
        <v/>
      </c>
      <c r="K127" s="47" t="str">
        <f aca="false">IF(D127="","",P127-J127)</f>
        <v/>
      </c>
      <c r="L127" s="55" t="str">
        <f aca="false">IF(OR(D127="",N(K127)&lt;=0,H127=""),"",MAX(0,Setup!$C$11-H127))</f>
        <v/>
      </c>
      <c r="M127" s="54" t="str">
        <f aca="false">IF(OR(D127="",B127=""),"",IF(IFERROR(INDEX(Suppliers!$S$7:$S$106,MATCH(D127,Suppliers!$B$7:$B$106,0)),"")="","–",B127+IFERROR(INDEX(Suppliers!$S$7:$S$106,MATCH(D127,Suppliers!$B$7:$B$106,0)),"")))</f>
        <v/>
      </c>
      <c r="N127" s="56" t="str">
        <f aca="false">IF(D127="","",IF(N(K127)&lt;=0,"Paid",IF(AND(ISNUMBER(M127),Setup!$C$11&gt;M127),"⚠ MSME late",IF(N(L127)&gt;0,"Overdue",IF(N(V127)&lt;=Setup!$C$9,"⚠ MSME due soon",IF(K127&lt;E127,"Part paid","Not due"))))))</f>
        <v/>
      </c>
      <c r="O127" s="50" t="str">
        <f aca="false">IF(AND(D127="",B127="",C127="",E127=""),"",IF(D127="","⚠ Pick supplier",IF(ISNA(MATCH(D127,Suppliers!$B$7:$B$106,0)),"⚠ Supplier not in list",IF(B127="","⚠ Enter bill date",IF(N(E127)&lt;=0,"⚠ Enter amount",IF(AND(C127&lt;&gt;"",COUNTIFS($D$8:$D$507,D127,$C$8:$C$507,C127)&gt;1),"⚠ Bill no. used twice",IF(N(I127)&gt;N(E127),"⚠ Paid more than bill","✔")))))))</f>
        <v/>
      </c>
      <c r="P127" s="9" t="n">
        <f aca="false">IF(D127="",0,MAX(0,N(E127)-N(I127)))</f>
        <v>0</v>
      </c>
      <c r="Q127" s="9" t="n">
        <f aca="false">IF(D127="",0,SUMIFS($P$8:$P$507,$D$8:$D$507,D127,$B$8:$B$507,"&lt;"&amp;B127)+SUMIFS($P$8:P126,$D$8:D126,D127,$B$8:B126,B127))</f>
        <v>0</v>
      </c>
      <c r="R127" s="9" t="n">
        <f aca="false">IF(D127="",0,IFERROR(INDEX(Suppliers!$R$7:$R$106,MATCH(D127,Suppliers!$B$7:$B$106,0)),0))</f>
        <v>0</v>
      </c>
      <c r="S127" s="9" t="str">
        <f aca="false">IF(N(K127)&gt;0,IF(H127="",99999,MIN(H127,IF(ISNUMBER(M127),M127,H127)))+ROW()/100000,"")</f>
        <v/>
      </c>
      <c r="U127" s="9" t="n">
        <f aca="false">IF(N(K127)&gt;0,N(L127),0)</f>
        <v>0</v>
      </c>
      <c r="V127" s="9" t="n">
        <f aca="false">IF(AND(N(K127)&gt;0,ISNUMBER(M127)),M127-Setup!$C$11,99999)</f>
        <v>99999</v>
      </c>
    </row>
    <row r="128" customFormat="false" ht="15" hidden="false" customHeight="false" outlineLevel="0" collapsed="false">
      <c r="A128" s="40" t="str">
        <f aca="false">IF(D128="","",ROW()-7)</f>
        <v/>
      </c>
      <c r="B128" s="79"/>
      <c r="C128" s="75"/>
      <c r="D128" s="76"/>
      <c r="E128" s="80"/>
      <c r="F128" s="79"/>
      <c r="G128" s="76"/>
      <c r="H128" s="54" t="str">
        <f aca="false">IF(OR(D128="",B128=""),"",IF(F128&lt;&gt;"",F128,B128+IFERROR(INDEX(Suppliers!$Q$7:$Q$106,MATCH(D128,Suppliers!$B$7:$B$106,0)),Setup!$C$7)))</f>
        <v/>
      </c>
      <c r="I128" s="46" t="str">
        <f aca="false">IF(OR(D128="",C128=""),IF(D128="","",0),SUMIFS(Payments!$D$8:$D$507,Payments!$C$8:$C$507,D128,Payments!$F$8:$F$507,C128))</f>
        <v/>
      </c>
      <c r="J128" s="46" t="str">
        <f aca="false">IF(D128="","",MIN(P128,MAX(0,R128-Q128)))</f>
        <v/>
      </c>
      <c r="K128" s="47" t="str">
        <f aca="false">IF(D128="","",P128-J128)</f>
        <v/>
      </c>
      <c r="L128" s="55" t="str">
        <f aca="false">IF(OR(D128="",N(K128)&lt;=0,H128=""),"",MAX(0,Setup!$C$11-H128))</f>
        <v/>
      </c>
      <c r="M128" s="54" t="str">
        <f aca="false">IF(OR(D128="",B128=""),"",IF(IFERROR(INDEX(Suppliers!$S$7:$S$106,MATCH(D128,Suppliers!$B$7:$B$106,0)),"")="","–",B128+IFERROR(INDEX(Suppliers!$S$7:$S$106,MATCH(D128,Suppliers!$B$7:$B$106,0)),"")))</f>
        <v/>
      </c>
      <c r="N128" s="56" t="str">
        <f aca="false">IF(D128="","",IF(N(K128)&lt;=0,"Paid",IF(AND(ISNUMBER(M128),Setup!$C$11&gt;M128),"⚠ MSME late",IF(N(L128)&gt;0,"Overdue",IF(N(V128)&lt;=Setup!$C$9,"⚠ MSME due soon",IF(K128&lt;E128,"Part paid","Not due"))))))</f>
        <v/>
      </c>
      <c r="O128" s="50" t="str">
        <f aca="false">IF(AND(D128="",B128="",C128="",E128=""),"",IF(D128="","⚠ Pick supplier",IF(ISNA(MATCH(D128,Suppliers!$B$7:$B$106,0)),"⚠ Supplier not in list",IF(B128="","⚠ Enter bill date",IF(N(E128)&lt;=0,"⚠ Enter amount",IF(AND(C128&lt;&gt;"",COUNTIFS($D$8:$D$507,D128,$C$8:$C$507,C128)&gt;1),"⚠ Bill no. used twice",IF(N(I128)&gt;N(E128),"⚠ Paid more than bill","✔")))))))</f>
        <v/>
      </c>
      <c r="P128" s="9" t="n">
        <f aca="false">IF(D128="",0,MAX(0,N(E128)-N(I128)))</f>
        <v>0</v>
      </c>
      <c r="Q128" s="9" t="n">
        <f aca="false">IF(D128="",0,SUMIFS($P$8:$P$507,$D$8:$D$507,D128,$B$8:$B$507,"&lt;"&amp;B128)+SUMIFS($P$8:P127,$D$8:D127,D128,$B$8:B127,B128))</f>
        <v>0</v>
      </c>
      <c r="R128" s="9" t="n">
        <f aca="false">IF(D128="",0,IFERROR(INDEX(Suppliers!$R$7:$R$106,MATCH(D128,Suppliers!$B$7:$B$106,0)),0))</f>
        <v>0</v>
      </c>
      <c r="S128" s="9" t="str">
        <f aca="false">IF(N(K128)&gt;0,IF(H128="",99999,MIN(H128,IF(ISNUMBER(M128),M128,H128)))+ROW()/100000,"")</f>
        <v/>
      </c>
      <c r="U128" s="9" t="n">
        <f aca="false">IF(N(K128)&gt;0,N(L128),0)</f>
        <v>0</v>
      </c>
      <c r="V128" s="9" t="n">
        <f aca="false">IF(AND(N(K128)&gt;0,ISNUMBER(M128)),M128-Setup!$C$11,99999)</f>
        <v>99999</v>
      </c>
    </row>
    <row r="129" customFormat="false" ht="15" hidden="false" customHeight="false" outlineLevel="0" collapsed="false">
      <c r="A129" s="40" t="str">
        <f aca="false">IF(D129="","",ROW()-7)</f>
        <v/>
      </c>
      <c r="B129" s="79"/>
      <c r="C129" s="75"/>
      <c r="D129" s="76"/>
      <c r="E129" s="80"/>
      <c r="F129" s="79"/>
      <c r="G129" s="76"/>
      <c r="H129" s="54" t="str">
        <f aca="false">IF(OR(D129="",B129=""),"",IF(F129&lt;&gt;"",F129,B129+IFERROR(INDEX(Suppliers!$Q$7:$Q$106,MATCH(D129,Suppliers!$B$7:$B$106,0)),Setup!$C$7)))</f>
        <v/>
      </c>
      <c r="I129" s="46" t="str">
        <f aca="false">IF(OR(D129="",C129=""),IF(D129="","",0),SUMIFS(Payments!$D$8:$D$507,Payments!$C$8:$C$507,D129,Payments!$F$8:$F$507,C129))</f>
        <v/>
      </c>
      <c r="J129" s="46" t="str">
        <f aca="false">IF(D129="","",MIN(P129,MAX(0,R129-Q129)))</f>
        <v/>
      </c>
      <c r="K129" s="47" t="str">
        <f aca="false">IF(D129="","",P129-J129)</f>
        <v/>
      </c>
      <c r="L129" s="55" t="str">
        <f aca="false">IF(OR(D129="",N(K129)&lt;=0,H129=""),"",MAX(0,Setup!$C$11-H129))</f>
        <v/>
      </c>
      <c r="M129" s="54" t="str">
        <f aca="false">IF(OR(D129="",B129=""),"",IF(IFERROR(INDEX(Suppliers!$S$7:$S$106,MATCH(D129,Suppliers!$B$7:$B$106,0)),"")="","–",B129+IFERROR(INDEX(Suppliers!$S$7:$S$106,MATCH(D129,Suppliers!$B$7:$B$106,0)),"")))</f>
        <v/>
      </c>
      <c r="N129" s="56" t="str">
        <f aca="false">IF(D129="","",IF(N(K129)&lt;=0,"Paid",IF(AND(ISNUMBER(M129),Setup!$C$11&gt;M129),"⚠ MSME late",IF(N(L129)&gt;0,"Overdue",IF(N(V129)&lt;=Setup!$C$9,"⚠ MSME due soon",IF(K129&lt;E129,"Part paid","Not due"))))))</f>
        <v/>
      </c>
      <c r="O129" s="50" t="str">
        <f aca="false">IF(AND(D129="",B129="",C129="",E129=""),"",IF(D129="","⚠ Pick supplier",IF(ISNA(MATCH(D129,Suppliers!$B$7:$B$106,0)),"⚠ Supplier not in list",IF(B129="","⚠ Enter bill date",IF(N(E129)&lt;=0,"⚠ Enter amount",IF(AND(C129&lt;&gt;"",COUNTIFS($D$8:$D$507,D129,$C$8:$C$507,C129)&gt;1),"⚠ Bill no. used twice",IF(N(I129)&gt;N(E129),"⚠ Paid more than bill","✔")))))))</f>
        <v/>
      </c>
      <c r="P129" s="9" t="n">
        <f aca="false">IF(D129="",0,MAX(0,N(E129)-N(I129)))</f>
        <v>0</v>
      </c>
      <c r="Q129" s="9" t="n">
        <f aca="false">IF(D129="",0,SUMIFS($P$8:$P$507,$D$8:$D$507,D129,$B$8:$B$507,"&lt;"&amp;B129)+SUMIFS($P$8:P128,$D$8:D128,D129,$B$8:B128,B129))</f>
        <v>0</v>
      </c>
      <c r="R129" s="9" t="n">
        <f aca="false">IF(D129="",0,IFERROR(INDEX(Suppliers!$R$7:$R$106,MATCH(D129,Suppliers!$B$7:$B$106,0)),0))</f>
        <v>0</v>
      </c>
      <c r="S129" s="9" t="str">
        <f aca="false">IF(N(K129)&gt;0,IF(H129="",99999,MIN(H129,IF(ISNUMBER(M129),M129,H129)))+ROW()/100000,"")</f>
        <v/>
      </c>
      <c r="U129" s="9" t="n">
        <f aca="false">IF(N(K129)&gt;0,N(L129),0)</f>
        <v>0</v>
      </c>
      <c r="V129" s="9" t="n">
        <f aca="false">IF(AND(N(K129)&gt;0,ISNUMBER(M129)),M129-Setup!$C$11,99999)</f>
        <v>99999</v>
      </c>
    </row>
    <row r="130" customFormat="false" ht="15" hidden="false" customHeight="false" outlineLevel="0" collapsed="false">
      <c r="A130" s="40" t="str">
        <f aca="false">IF(D130="","",ROW()-7)</f>
        <v/>
      </c>
      <c r="B130" s="79"/>
      <c r="C130" s="75"/>
      <c r="D130" s="76"/>
      <c r="E130" s="80"/>
      <c r="F130" s="79"/>
      <c r="G130" s="76"/>
      <c r="H130" s="54" t="str">
        <f aca="false">IF(OR(D130="",B130=""),"",IF(F130&lt;&gt;"",F130,B130+IFERROR(INDEX(Suppliers!$Q$7:$Q$106,MATCH(D130,Suppliers!$B$7:$B$106,0)),Setup!$C$7)))</f>
        <v/>
      </c>
      <c r="I130" s="46" t="str">
        <f aca="false">IF(OR(D130="",C130=""),IF(D130="","",0),SUMIFS(Payments!$D$8:$D$507,Payments!$C$8:$C$507,D130,Payments!$F$8:$F$507,C130))</f>
        <v/>
      </c>
      <c r="J130" s="46" t="str">
        <f aca="false">IF(D130="","",MIN(P130,MAX(0,R130-Q130)))</f>
        <v/>
      </c>
      <c r="K130" s="47" t="str">
        <f aca="false">IF(D130="","",P130-J130)</f>
        <v/>
      </c>
      <c r="L130" s="55" t="str">
        <f aca="false">IF(OR(D130="",N(K130)&lt;=0,H130=""),"",MAX(0,Setup!$C$11-H130))</f>
        <v/>
      </c>
      <c r="M130" s="54" t="str">
        <f aca="false">IF(OR(D130="",B130=""),"",IF(IFERROR(INDEX(Suppliers!$S$7:$S$106,MATCH(D130,Suppliers!$B$7:$B$106,0)),"")="","–",B130+IFERROR(INDEX(Suppliers!$S$7:$S$106,MATCH(D130,Suppliers!$B$7:$B$106,0)),"")))</f>
        <v/>
      </c>
      <c r="N130" s="56" t="str">
        <f aca="false">IF(D130="","",IF(N(K130)&lt;=0,"Paid",IF(AND(ISNUMBER(M130),Setup!$C$11&gt;M130),"⚠ MSME late",IF(N(L130)&gt;0,"Overdue",IF(N(V130)&lt;=Setup!$C$9,"⚠ MSME due soon",IF(K130&lt;E130,"Part paid","Not due"))))))</f>
        <v/>
      </c>
      <c r="O130" s="50" t="str">
        <f aca="false">IF(AND(D130="",B130="",C130="",E130=""),"",IF(D130="","⚠ Pick supplier",IF(ISNA(MATCH(D130,Suppliers!$B$7:$B$106,0)),"⚠ Supplier not in list",IF(B130="","⚠ Enter bill date",IF(N(E130)&lt;=0,"⚠ Enter amount",IF(AND(C130&lt;&gt;"",COUNTIFS($D$8:$D$507,D130,$C$8:$C$507,C130)&gt;1),"⚠ Bill no. used twice",IF(N(I130)&gt;N(E130),"⚠ Paid more than bill","✔")))))))</f>
        <v/>
      </c>
      <c r="P130" s="9" t="n">
        <f aca="false">IF(D130="",0,MAX(0,N(E130)-N(I130)))</f>
        <v>0</v>
      </c>
      <c r="Q130" s="9" t="n">
        <f aca="false">IF(D130="",0,SUMIFS($P$8:$P$507,$D$8:$D$507,D130,$B$8:$B$507,"&lt;"&amp;B130)+SUMIFS($P$8:P129,$D$8:D129,D130,$B$8:B129,B130))</f>
        <v>0</v>
      </c>
      <c r="R130" s="9" t="n">
        <f aca="false">IF(D130="",0,IFERROR(INDEX(Suppliers!$R$7:$R$106,MATCH(D130,Suppliers!$B$7:$B$106,0)),0))</f>
        <v>0</v>
      </c>
      <c r="S130" s="9" t="str">
        <f aca="false">IF(N(K130)&gt;0,IF(H130="",99999,MIN(H130,IF(ISNUMBER(M130),M130,H130)))+ROW()/100000,"")</f>
        <v/>
      </c>
      <c r="U130" s="9" t="n">
        <f aca="false">IF(N(K130)&gt;0,N(L130),0)</f>
        <v>0</v>
      </c>
      <c r="V130" s="9" t="n">
        <f aca="false">IF(AND(N(K130)&gt;0,ISNUMBER(M130)),M130-Setup!$C$11,99999)</f>
        <v>99999</v>
      </c>
    </row>
    <row r="131" customFormat="false" ht="15" hidden="false" customHeight="false" outlineLevel="0" collapsed="false">
      <c r="A131" s="40" t="str">
        <f aca="false">IF(D131="","",ROW()-7)</f>
        <v/>
      </c>
      <c r="B131" s="79"/>
      <c r="C131" s="75"/>
      <c r="D131" s="76"/>
      <c r="E131" s="80"/>
      <c r="F131" s="79"/>
      <c r="G131" s="76"/>
      <c r="H131" s="54" t="str">
        <f aca="false">IF(OR(D131="",B131=""),"",IF(F131&lt;&gt;"",F131,B131+IFERROR(INDEX(Suppliers!$Q$7:$Q$106,MATCH(D131,Suppliers!$B$7:$B$106,0)),Setup!$C$7)))</f>
        <v/>
      </c>
      <c r="I131" s="46" t="str">
        <f aca="false">IF(OR(D131="",C131=""),IF(D131="","",0),SUMIFS(Payments!$D$8:$D$507,Payments!$C$8:$C$507,D131,Payments!$F$8:$F$507,C131))</f>
        <v/>
      </c>
      <c r="J131" s="46" t="str">
        <f aca="false">IF(D131="","",MIN(P131,MAX(0,R131-Q131)))</f>
        <v/>
      </c>
      <c r="K131" s="47" t="str">
        <f aca="false">IF(D131="","",P131-J131)</f>
        <v/>
      </c>
      <c r="L131" s="55" t="str">
        <f aca="false">IF(OR(D131="",N(K131)&lt;=0,H131=""),"",MAX(0,Setup!$C$11-H131))</f>
        <v/>
      </c>
      <c r="M131" s="54" t="str">
        <f aca="false">IF(OR(D131="",B131=""),"",IF(IFERROR(INDEX(Suppliers!$S$7:$S$106,MATCH(D131,Suppliers!$B$7:$B$106,0)),"")="","–",B131+IFERROR(INDEX(Suppliers!$S$7:$S$106,MATCH(D131,Suppliers!$B$7:$B$106,0)),"")))</f>
        <v/>
      </c>
      <c r="N131" s="56" t="str">
        <f aca="false">IF(D131="","",IF(N(K131)&lt;=0,"Paid",IF(AND(ISNUMBER(M131),Setup!$C$11&gt;M131),"⚠ MSME late",IF(N(L131)&gt;0,"Overdue",IF(N(V131)&lt;=Setup!$C$9,"⚠ MSME due soon",IF(K131&lt;E131,"Part paid","Not due"))))))</f>
        <v/>
      </c>
      <c r="O131" s="50" t="str">
        <f aca="false">IF(AND(D131="",B131="",C131="",E131=""),"",IF(D131="","⚠ Pick supplier",IF(ISNA(MATCH(D131,Suppliers!$B$7:$B$106,0)),"⚠ Supplier not in list",IF(B131="","⚠ Enter bill date",IF(N(E131)&lt;=0,"⚠ Enter amount",IF(AND(C131&lt;&gt;"",COUNTIFS($D$8:$D$507,D131,$C$8:$C$507,C131)&gt;1),"⚠ Bill no. used twice",IF(N(I131)&gt;N(E131),"⚠ Paid more than bill","✔")))))))</f>
        <v/>
      </c>
      <c r="P131" s="9" t="n">
        <f aca="false">IF(D131="",0,MAX(0,N(E131)-N(I131)))</f>
        <v>0</v>
      </c>
      <c r="Q131" s="9" t="n">
        <f aca="false">IF(D131="",0,SUMIFS($P$8:$P$507,$D$8:$D$507,D131,$B$8:$B$507,"&lt;"&amp;B131)+SUMIFS($P$8:P130,$D$8:D130,D131,$B$8:B130,B131))</f>
        <v>0</v>
      </c>
      <c r="R131" s="9" t="n">
        <f aca="false">IF(D131="",0,IFERROR(INDEX(Suppliers!$R$7:$R$106,MATCH(D131,Suppliers!$B$7:$B$106,0)),0))</f>
        <v>0</v>
      </c>
      <c r="S131" s="9" t="str">
        <f aca="false">IF(N(K131)&gt;0,IF(H131="",99999,MIN(H131,IF(ISNUMBER(M131),M131,H131)))+ROW()/100000,"")</f>
        <v/>
      </c>
      <c r="U131" s="9" t="n">
        <f aca="false">IF(N(K131)&gt;0,N(L131),0)</f>
        <v>0</v>
      </c>
      <c r="V131" s="9" t="n">
        <f aca="false">IF(AND(N(K131)&gt;0,ISNUMBER(M131)),M131-Setup!$C$11,99999)</f>
        <v>99999</v>
      </c>
    </row>
    <row r="132" customFormat="false" ht="15" hidden="false" customHeight="false" outlineLevel="0" collapsed="false">
      <c r="A132" s="40" t="str">
        <f aca="false">IF(D132="","",ROW()-7)</f>
        <v/>
      </c>
      <c r="B132" s="79"/>
      <c r="C132" s="75"/>
      <c r="D132" s="76"/>
      <c r="E132" s="80"/>
      <c r="F132" s="79"/>
      <c r="G132" s="76"/>
      <c r="H132" s="54" t="str">
        <f aca="false">IF(OR(D132="",B132=""),"",IF(F132&lt;&gt;"",F132,B132+IFERROR(INDEX(Suppliers!$Q$7:$Q$106,MATCH(D132,Suppliers!$B$7:$B$106,0)),Setup!$C$7)))</f>
        <v/>
      </c>
      <c r="I132" s="46" t="str">
        <f aca="false">IF(OR(D132="",C132=""),IF(D132="","",0),SUMIFS(Payments!$D$8:$D$507,Payments!$C$8:$C$507,D132,Payments!$F$8:$F$507,C132))</f>
        <v/>
      </c>
      <c r="J132" s="46" t="str">
        <f aca="false">IF(D132="","",MIN(P132,MAX(0,R132-Q132)))</f>
        <v/>
      </c>
      <c r="K132" s="47" t="str">
        <f aca="false">IF(D132="","",P132-J132)</f>
        <v/>
      </c>
      <c r="L132" s="55" t="str">
        <f aca="false">IF(OR(D132="",N(K132)&lt;=0,H132=""),"",MAX(0,Setup!$C$11-H132))</f>
        <v/>
      </c>
      <c r="M132" s="54" t="str">
        <f aca="false">IF(OR(D132="",B132=""),"",IF(IFERROR(INDEX(Suppliers!$S$7:$S$106,MATCH(D132,Suppliers!$B$7:$B$106,0)),"")="","–",B132+IFERROR(INDEX(Suppliers!$S$7:$S$106,MATCH(D132,Suppliers!$B$7:$B$106,0)),"")))</f>
        <v/>
      </c>
      <c r="N132" s="56" t="str">
        <f aca="false">IF(D132="","",IF(N(K132)&lt;=0,"Paid",IF(AND(ISNUMBER(M132),Setup!$C$11&gt;M132),"⚠ MSME late",IF(N(L132)&gt;0,"Overdue",IF(N(V132)&lt;=Setup!$C$9,"⚠ MSME due soon",IF(K132&lt;E132,"Part paid","Not due"))))))</f>
        <v/>
      </c>
      <c r="O132" s="50" t="str">
        <f aca="false">IF(AND(D132="",B132="",C132="",E132=""),"",IF(D132="","⚠ Pick supplier",IF(ISNA(MATCH(D132,Suppliers!$B$7:$B$106,0)),"⚠ Supplier not in list",IF(B132="","⚠ Enter bill date",IF(N(E132)&lt;=0,"⚠ Enter amount",IF(AND(C132&lt;&gt;"",COUNTIFS($D$8:$D$507,D132,$C$8:$C$507,C132)&gt;1),"⚠ Bill no. used twice",IF(N(I132)&gt;N(E132),"⚠ Paid more than bill","✔")))))))</f>
        <v/>
      </c>
      <c r="P132" s="9" t="n">
        <f aca="false">IF(D132="",0,MAX(0,N(E132)-N(I132)))</f>
        <v>0</v>
      </c>
      <c r="Q132" s="9" t="n">
        <f aca="false">IF(D132="",0,SUMIFS($P$8:$P$507,$D$8:$D$507,D132,$B$8:$B$507,"&lt;"&amp;B132)+SUMIFS($P$8:P131,$D$8:D131,D132,$B$8:B131,B132))</f>
        <v>0</v>
      </c>
      <c r="R132" s="9" t="n">
        <f aca="false">IF(D132="",0,IFERROR(INDEX(Suppliers!$R$7:$R$106,MATCH(D132,Suppliers!$B$7:$B$106,0)),0))</f>
        <v>0</v>
      </c>
      <c r="S132" s="9" t="str">
        <f aca="false">IF(N(K132)&gt;0,IF(H132="",99999,MIN(H132,IF(ISNUMBER(M132),M132,H132)))+ROW()/100000,"")</f>
        <v/>
      </c>
      <c r="U132" s="9" t="n">
        <f aca="false">IF(N(K132)&gt;0,N(L132),0)</f>
        <v>0</v>
      </c>
      <c r="V132" s="9" t="n">
        <f aca="false">IF(AND(N(K132)&gt;0,ISNUMBER(M132)),M132-Setup!$C$11,99999)</f>
        <v>99999</v>
      </c>
    </row>
    <row r="133" customFormat="false" ht="15" hidden="false" customHeight="false" outlineLevel="0" collapsed="false">
      <c r="A133" s="40" t="str">
        <f aca="false">IF(D133="","",ROW()-7)</f>
        <v/>
      </c>
      <c r="B133" s="79"/>
      <c r="C133" s="75"/>
      <c r="D133" s="76"/>
      <c r="E133" s="80"/>
      <c r="F133" s="79"/>
      <c r="G133" s="76"/>
      <c r="H133" s="54" t="str">
        <f aca="false">IF(OR(D133="",B133=""),"",IF(F133&lt;&gt;"",F133,B133+IFERROR(INDEX(Suppliers!$Q$7:$Q$106,MATCH(D133,Suppliers!$B$7:$B$106,0)),Setup!$C$7)))</f>
        <v/>
      </c>
      <c r="I133" s="46" t="str">
        <f aca="false">IF(OR(D133="",C133=""),IF(D133="","",0),SUMIFS(Payments!$D$8:$D$507,Payments!$C$8:$C$507,D133,Payments!$F$8:$F$507,C133))</f>
        <v/>
      </c>
      <c r="J133" s="46" t="str">
        <f aca="false">IF(D133="","",MIN(P133,MAX(0,R133-Q133)))</f>
        <v/>
      </c>
      <c r="K133" s="47" t="str">
        <f aca="false">IF(D133="","",P133-J133)</f>
        <v/>
      </c>
      <c r="L133" s="55" t="str">
        <f aca="false">IF(OR(D133="",N(K133)&lt;=0,H133=""),"",MAX(0,Setup!$C$11-H133))</f>
        <v/>
      </c>
      <c r="M133" s="54" t="str">
        <f aca="false">IF(OR(D133="",B133=""),"",IF(IFERROR(INDEX(Suppliers!$S$7:$S$106,MATCH(D133,Suppliers!$B$7:$B$106,0)),"")="","–",B133+IFERROR(INDEX(Suppliers!$S$7:$S$106,MATCH(D133,Suppliers!$B$7:$B$106,0)),"")))</f>
        <v/>
      </c>
      <c r="N133" s="56" t="str">
        <f aca="false">IF(D133="","",IF(N(K133)&lt;=0,"Paid",IF(AND(ISNUMBER(M133),Setup!$C$11&gt;M133),"⚠ MSME late",IF(N(L133)&gt;0,"Overdue",IF(N(V133)&lt;=Setup!$C$9,"⚠ MSME due soon",IF(K133&lt;E133,"Part paid","Not due"))))))</f>
        <v/>
      </c>
      <c r="O133" s="50" t="str">
        <f aca="false">IF(AND(D133="",B133="",C133="",E133=""),"",IF(D133="","⚠ Pick supplier",IF(ISNA(MATCH(D133,Suppliers!$B$7:$B$106,0)),"⚠ Supplier not in list",IF(B133="","⚠ Enter bill date",IF(N(E133)&lt;=0,"⚠ Enter amount",IF(AND(C133&lt;&gt;"",COUNTIFS($D$8:$D$507,D133,$C$8:$C$507,C133)&gt;1),"⚠ Bill no. used twice",IF(N(I133)&gt;N(E133),"⚠ Paid more than bill","✔")))))))</f>
        <v/>
      </c>
      <c r="P133" s="9" t="n">
        <f aca="false">IF(D133="",0,MAX(0,N(E133)-N(I133)))</f>
        <v>0</v>
      </c>
      <c r="Q133" s="9" t="n">
        <f aca="false">IF(D133="",0,SUMIFS($P$8:$P$507,$D$8:$D$507,D133,$B$8:$B$507,"&lt;"&amp;B133)+SUMIFS($P$8:P132,$D$8:D132,D133,$B$8:B132,B133))</f>
        <v>0</v>
      </c>
      <c r="R133" s="9" t="n">
        <f aca="false">IF(D133="",0,IFERROR(INDEX(Suppliers!$R$7:$R$106,MATCH(D133,Suppliers!$B$7:$B$106,0)),0))</f>
        <v>0</v>
      </c>
      <c r="S133" s="9" t="str">
        <f aca="false">IF(N(K133)&gt;0,IF(H133="",99999,MIN(H133,IF(ISNUMBER(M133),M133,H133)))+ROW()/100000,"")</f>
        <v/>
      </c>
      <c r="U133" s="9" t="n">
        <f aca="false">IF(N(K133)&gt;0,N(L133),0)</f>
        <v>0</v>
      </c>
      <c r="V133" s="9" t="n">
        <f aca="false">IF(AND(N(K133)&gt;0,ISNUMBER(M133)),M133-Setup!$C$11,99999)</f>
        <v>99999</v>
      </c>
    </row>
    <row r="134" customFormat="false" ht="15" hidden="false" customHeight="false" outlineLevel="0" collapsed="false">
      <c r="A134" s="40" t="str">
        <f aca="false">IF(D134="","",ROW()-7)</f>
        <v/>
      </c>
      <c r="B134" s="79"/>
      <c r="C134" s="75"/>
      <c r="D134" s="76"/>
      <c r="E134" s="80"/>
      <c r="F134" s="79"/>
      <c r="G134" s="76"/>
      <c r="H134" s="54" t="str">
        <f aca="false">IF(OR(D134="",B134=""),"",IF(F134&lt;&gt;"",F134,B134+IFERROR(INDEX(Suppliers!$Q$7:$Q$106,MATCH(D134,Suppliers!$B$7:$B$106,0)),Setup!$C$7)))</f>
        <v/>
      </c>
      <c r="I134" s="46" t="str">
        <f aca="false">IF(OR(D134="",C134=""),IF(D134="","",0),SUMIFS(Payments!$D$8:$D$507,Payments!$C$8:$C$507,D134,Payments!$F$8:$F$507,C134))</f>
        <v/>
      </c>
      <c r="J134" s="46" t="str">
        <f aca="false">IF(D134="","",MIN(P134,MAX(0,R134-Q134)))</f>
        <v/>
      </c>
      <c r="K134" s="47" t="str">
        <f aca="false">IF(D134="","",P134-J134)</f>
        <v/>
      </c>
      <c r="L134" s="55" t="str">
        <f aca="false">IF(OR(D134="",N(K134)&lt;=0,H134=""),"",MAX(0,Setup!$C$11-H134))</f>
        <v/>
      </c>
      <c r="M134" s="54" t="str">
        <f aca="false">IF(OR(D134="",B134=""),"",IF(IFERROR(INDEX(Suppliers!$S$7:$S$106,MATCH(D134,Suppliers!$B$7:$B$106,0)),"")="","–",B134+IFERROR(INDEX(Suppliers!$S$7:$S$106,MATCH(D134,Suppliers!$B$7:$B$106,0)),"")))</f>
        <v/>
      </c>
      <c r="N134" s="56" t="str">
        <f aca="false">IF(D134="","",IF(N(K134)&lt;=0,"Paid",IF(AND(ISNUMBER(M134),Setup!$C$11&gt;M134),"⚠ MSME late",IF(N(L134)&gt;0,"Overdue",IF(N(V134)&lt;=Setup!$C$9,"⚠ MSME due soon",IF(K134&lt;E134,"Part paid","Not due"))))))</f>
        <v/>
      </c>
      <c r="O134" s="50" t="str">
        <f aca="false">IF(AND(D134="",B134="",C134="",E134=""),"",IF(D134="","⚠ Pick supplier",IF(ISNA(MATCH(D134,Suppliers!$B$7:$B$106,0)),"⚠ Supplier not in list",IF(B134="","⚠ Enter bill date",IF(N(E134)&lt;=0,"⚠ Enter amount",IF(AND(C134&lt;&gt;"",COUNTIFS($D$8:$D$507,D134,$C$8:$C$507,C134)&gt;1),"⚠ Bill no. used twice",IF(N(I134)&gt;N(E134),"⚠ Paid more than bill","✔")))))))</f>
        <v/>
      </c>
      <c r="P134" s="9" t="n">
        <f aca="false">IF(D134="",0,MAX(0,N(E134)-N(I134)))</f>
        <v>0</v>
      </c>
      <c r="Q134" s="9" t="n">
        <f aca="false">IF(D134="",0,SUMIFS($P$8:$P$507,$D$8:$D$507,D134,$B$8:$B$507,"&lt;"&amp;B134)+SUMIFS($P$8:P133,$D$8:D133,D134,$B$8:B133,B134))</f>
        <v>0</v>
      </c>
      <c r="R134" s="9" t="n">
        <f aca="false">IF(D134="",0,IFERROR(INDEX(Suppliers!$R$7:$R$106,MATCH(D134,Suppliers!$B$7:$B$106,0)),0))</f>
        <v>0</v>
      </c>
      <c r="S134" s="9" t="str">
        <f aca="false">IF(N(K134)&gt;0,IF(H134="",99999,MIN(H134,IF(ISNUMBER(M134),M134,H134)))+ROW()/100000,"")</f>
        <v/>
      </c>
      <c r="U134" s="9" t="n">
        <f aca="false">IF(N(K134)&gt;0,N(L134),0)</f>
        <v>0</v>
      </c>
      <c r="V134" s="9" t="n">
        <f aca="false">IF(AND(N(K134)&gt;0,ISNUMBER(M134)),M134-Setup!$C$11,99999)</f>
        <v>99999</v>
      </c>
    </row>
    <row r="135" customFormat="false" ht="15" hidden="false" customHeight="false" outlineLevel="0" collapsed="false">
      <c r="A135" s="40" t="str">
        <f aca="false">IF(D135="","",ROW()-7)</f>
        <v/>
      </c>
      <c r="B135" s="79"/>
      <c r="C135" s="75"/>
      <c r="D135" s="76"/>
      <c r="E135" s="80"/>
      <c r="F135" s="79"/>
      <c r="G135" s="76"/>
      <c r="H135" s="54" t="str">
        <f aca="false">IF(OR(D135="",B135=""),"",IF(F135&lt;&gt;"",F135,B135+IFERROR(INDEX(Suppliers!$Q$7:$Q$106,MATCH(D135,Suppliers!$B$7:$B$106,0)),Setup!$C$7)))</f>
        <v/>
      </c>
      <c r="I135" s="46" t="str">
        <f aca="false">IF(OR(D135="",C135=""),IF(D135="","",0),SUMIFS(Payments!$D$8:$D$507,Payments!$C$8:$C$507,D135,Payments!$F$8:$F$507,C135))</f>
        <v/>
      </c>
      <c r="J135" s="46" t="str">
        <f aca="false">IF(D135="","",MIN(P135,MAX(0,R135-Q135)))</f>
        <v/>
      </c>
      <c r="K135" s="47" t="str">
        <f aca="false">IF(D135="","",P135-J135)</f>
        <v/>
      </c>
      <c r="L135" s="55" t="str">
        <f aca="false">IF(OR(D135="",N(K135)&lt;=0,H135=""),"",MAX(0,Setup!$C$11-H135))</f>
        <v/>
      </c>
      <c r="M135" s="54" t="str">
        <f aca="false">IF(OR(D135="",B135=""),"",IF(IFERROR(INDEX(Suppliers!$S$7:$S$106,MATCH(D135,Suppliers!$B$7:$B$106,0)),"")="","–",B135+IFERROR(INDEX(Suppliers!$S$7:$S$106,MATCH(D135,Suppliers!$B$7:$B$106,0)),"")))</f>
        <v/>
      </c>
      <c r="N135" s="56" t="str">
        <f aca="false">IF(D135="","",IF(N(K135)&lt;=0,"Paid",IF(AND(ISNUMBER(M135),Setup!$C$11&gt;M135),"⚠ MSME late",IF(N(L135)&gt;0,"Overdue",IF(N(V135)&lt;=Setup!$C$9,"⚠ MSME due soon",IF(K135&lt;E135,"Part paid","Not due"))))))</f>
        <v/>
      </c>
      <c r="O135" s="50" t="str">
        <f aca="false">IF(AND(D135="",B135="",C135="",E135=""),"",IF(D135="","⚠ Pick supplier",IF(ISNA(MATCH(D135,Suppliers!$B$7:$B$106,0)),"⚠ Supplier not in list",IF(B135="","⚠ Enter bill date",IF(N(E135)&lt;=0,"⚠ Enter amount",IF(AND(C135&lt;&gt;"",COUNTIFS($D$8:$D$507,D135,$C$8:$C$507,C135)&gt;1),"⚠ Bill no. used twice",IF(N(I135)&gt;N(E135),"⚠ Paid more than bill","✔")))))))</f>
        <v/>
      </c>
      <c r="P135" s="9" t="n">
        <f aca="false">IF(D135="",0,MAX(0,N(E135)-N(I135)))</f>
        <v>0</v>
      </c>
      <c r="Q135" s="9" t="n">
        <f aca="false">IF(D135="",0,SUMIFS($P$8:$P$507,$D$8:$D$507,D135,$B$8:$B$507,"&lt;"&amp;B135)+SUMIFS($P$8:P134,$D$8:D134,D135,$B$8:B134,B135))</f>
        <v>0</v>
      </c>
      <c r="R135" s="9" t="n">
        <f aca="false">IF(D135="",0,IFERROR(INDEX(Suppliers!$R$7:$R$106,MATCH(D135,Suppliers!$B$7:$B$106,0)),0))</f>
        <v>0</v>
      </c>
      <c r="S135" s="9" t="str">
        <f aca="false">IF(N(K135)&gt;0,IF(H135="",99999,MIN(H135,IF(ISNUMBER(M135),M135,H135)))+ROW()/100000,"")</f>
        <v/>
      </c>
      <c r="U135" s="9" t="n">
        <f aca="false">IF(N(K135)&gt;0,N(L135),0)</f>
        <v>0</v>
      </c>
      <c r="V135" s="9" t="n">
        <f aca="false">IF(AND(N(K135)&gt;0,ISNUMBER(M135)),M135-Setup!$C$11,99999)</f>
        <v>99999</v>
      </c>
    </row>
    <row r="136" customFormat="false" ht="15" hidden="false" customHeight="false" outlineLevel="0" collapsed="false">
      <c r="A136" s="40" t="str">
        <f aca="false">IF(D136="","",ROW()-7)</f>
        <v/>
      </c>
      <c r="B136" s="79"/>
      <c r="C136" s="75"/>
      <c r="D136" s="76"/>
      <c r="E136" s="80"/>
      <c r="F136" s="79"/>
      <c r="G136" s="76"/>
      <c r="H136" s="54" t="str">
        <f aca="false">IF(OR(D136="",B136=""),"",IF(F136&lt;&gt;"",F136,B136+IFERROR(INDEX(Suppliers!$Q$7:$Q$106,MATCH(D136,Suppliers!$B$7:$B$106,0)),Setup!$C$7)))</f>
        <v/>
      </c>
      <c r="I136" s="46" t="str">
        <f aca="false">IF(OR(D136="",C136=""),IF(D136="","",0),SUMIFS(Payments!$D$8:$D$507,Payments!$C$8:$C$507,D136,Payments!$F$8:$F$507,C136))</f>
        <v/>
      </c>
      <c r="J136" s="46" t="str">
        <f aca="false">IF(D136="","",MIN(P136,MAX(0,R136-Q136)))</f>
        <v/>
      </c>
      <c r="K136" s="47" t="str">
        <f aca="false">IF(D136="","",P136-J136)</f>
        <v/>
      </c>
      <c r="L136" s="55" t="str">
        <f aca="false">IF(OR(D136="",N(K136)&lt;=0,H136=""),"",MAX(0,Setup!$C$11-H136))</f>
        <v/>
      </c>
      <c r="M136" s="54" t="str">
        <f aca="false">IF(OR(D136="",B136=""),"",IF(IFERROR(INDEX(Suppliers!$S$7:$S$106,MATCH(D136,Suppliers!$B$7:$B$106,0)),"")="","–",B136+IFERROR(INDEX(Suppliers!$S$7:$S$106,MATCH(D136,Suppliers!$B$7:$B$106,0)),"")))</f>
        <v/>
      </c>
      <c r="N136" s="56" t="str">
        <f aca="false">IF(D136="","",IF(N(K136)&lt;=0,"Paid",IF(AND(ISNUMBER(M136),Setup!$C$11&gt;M136),"⚠ MSME late",IF(N(L136)&gt;0,"Overdue",IF(N(V136)&lt;=Setup!$C$9,"⚠ MSME due soon",IF(K136&lt;E136,"Part paid","Not due"))))))</f>
        <v/>
      </c>
      <c r="O136" s="50" t="str">
        <f aca="false">IF(AND(D136="",B136="",C136="",E136=""),"",IF(D136="","⚠ Pick supplier",IF(ISNA(MATCH(D136,Suppliers!$B$7:$B$106,0)),"⚠ Supplier not in list",IF(B136="","⚠ Enter bill date",IF(N(E136)&lt;=0,"⚠ Enter amount",IF(AND(C136&lt;&gt;"",COUNTIFS($D$8:$D$507,D136,$C$8:$C$507,C136)&gt;1),"⚠ Bill no. used twice",IF(N(I136)&gt;N(E136),"⚠ Paid more than bill","✔")))))))</f>
        <v/>
      </c>
      <c r="P136" s="9" t="n">
        <f aca="false">IF(D136="",0,MAX(0,N(E136)-N(I136)))</f>
        <v>0</v>
      </c>
      <c r="Q136" s="9" t="n">
        <f aca="false">IF(D136="",0,SUMIFS($P$8:$P$507,$D$8:$D$507,D136,$B$8:$B$507,"&lt;"&amp;B136)+SUMIFS($P$8:P135,$D$8:D135,D136,$B$8:B135,B136))</f>
        <v>0</v>
      </c>
      <c r="R136" s="9" t="n">
        <f aca="false">IF(D136="",0,IFERROR(INDEX(Suppliers!$R$7:$R$106,MATCH(D136,Suppliers!$B$7:$B$106,0)),0))</f>
        <v>0</v>
      </c>
      <c r="S136" s="9" t="str">
        <f aca="false">IF(N(K136)&gt;0,IF(H136="",99999,MIN(H136,IF(ISNUMBER(M136),M136,H136)))+ROW()/100000,"")</f>
        <v/>
      </c>
      <c r="U136" s="9" t="n">
        <f aca="false">IF(N(K136)&gt;0,N(L136),0)</f>
        <v>0</v>
      </c>
      <c r="V136" s="9" t="n">
        <f aca="false">IF(AND(N(K136)&gt;0,ISNUMBER(M136)),M136-Setup!$C$11,99999)</f>
        <v>99999</v>
      </c>
    </row>
    <row r="137" customFormat="false" ht="15" hidden="false" customHeight="false" outlineLevel="0" collapsed="false">
      <c r="A137" s="40" t="str">
        <f aca="false">IF(D137="","",ROW()-7)</f>
        <v/>
      </c>
      <c r="B137" s="79"/>
      <c r="C137" s="75"/>
      <c r="D137" s="76"/>
      <c r="E137" s="80"/>
      <c r="F137" s="79"/>
      <c r="G137" s="76"/>
      <c r="H137" s="54" t="str">
        <f aca="false">IF(OR(D137="",B137=""),"",IF(F137&lt;&gt;"",F137,B137+IFERROR(INDEX(Suppliers!$Q$7:$Q$106,MATCH(D137,Suppliers!$B$7:$B$106,0)),Setup!$C$7)))</f>
        <v/>
      </c>
      <c r="I137" s="46" t="str">
        <f aca="false">IF(OR(D137="",C137=""),IF(D137="","",0),SUMIFS(Payments!$D$8:$D$507,Payments!$C$8:$C$507,D137,Payments!$F$8:$F$507,C137))</f>
        <v/>
      </c>
      <c r="J137" s="46" t="str">
        <f aca="false">IF(D137="","",MIN(P137,MAX(0,R137-Q137)))</f>
        <v/>
      </c>
      <c r="K137" s="47" t="str">
        <f aca="false">IF(D137="","",P137-J137)</f>
        <v/>
      </c>
      <c r="L137" s="55" t="str">
        <f aca="false">IF(OR(D137="",N(K137)&lt;=0,H137=""),"",MAX(0,Setup!$C$11-H137))</f>
        <v/>
      </c>
      <c r="M137" s="54" t="str">
        <f aca="false">IF(OR(D137="",B137=""),"",IF(IFERROR(INDEX(Suppliers!$S$7:$S$106,MATCH(D137,Suppliers!$B$7:$B$106,0)),"")="","–",B137+IFERROR(INDEX(Suppliers!$S$7:$S$106,MATCH(D137,Suppliers!$B$7:$B$106,0)),"")))</f>
        <v/>
      </c>
      <c r="N137" s="56" t="str">
        <f aca="false">IF(D137="","",IF(N(K137)&lt;=0,"Paid",IF(AND(ISNUMBER(M137),Setup!$C$11&gt;M137),"⚠ MSME late",IF(N(L137)&gt;0,"Overdue",IF(N(V137)&lt;=Setup!$C$9,"⚠ MSME due soon",IF(K137&lt;E137,"Part paid","Not due"))))))</f>
        <v/>
      </c>
      <c r="O137" s="50" t="str">
        <f aca="false">IF(AND(D137="",B137="",C137="",E137=""),"",IF(D137="","⚠ Pick supplier",IF(ISNA(MATCH(D137,Suppliers!$B$7:$B$106,0)),"⚠ Supplier not in list",IF(B137="","⚠ Enter bill date",IF(N(E137)&lt;=0,"⚠ Enter amount",IF(AND(C137&lt;&gt;"",COUNTIFS($D$8:$D$507,D137,$C$8:$C$507,C137)&gt;1),"⚠ Bill no. used twice",IF(N(I137)&gt;N(E137),"⚠ Paid more than bill","✔")))))))</f>
        <v/>
      </c>
      <c r="P137" s="9" t="n">
        <f aca="false">IF(D137="",0,MAX(0,N(E137)-N(I137)))</f>
        <v>0</v>
      </c>
      <c r="Q137" s="9" t="n">
        <f aca="false">IF(D137="",0,SUMIFS($P$8:$P$507,$D$8:$D$507,D137,$B$8:$B$507,"&lt;"&amp;B137)+SUMIFS($P$8:P136,$D$8:D136,D137,$B$8:B136,B137))</f>
        <v>0</v>
      </c>
      <c r="R137" s="9" t="n">
        <f aca="false">IF(D137="",0,IFERROR(INDEX(Suppliers!$R$7:$R$106,MATCH(D137,Suppliers!$B$7:$B$106,0)),0))</f>
        <v>0</v>
      </c>
      <c r="S137" s="9" t="str">
        <f aca="false">IF(N(K137)&gt;0,IF(H137="",99999,MIN(H137,IF(ISNUMBER(M137),M137,H137)))+ROW()/100000,"")</f>
        <v/>
      </c>
      <c r="U137" s="9" t="n">
        <f aca="false">IF(N(K137)&gt;0,N(L137),0)</f>
        <v>0</v>
      </c>
      <c r="V137" s="9" t="n">
        <f aca="false">IF(AND(N(K137)&gt;0,ISNUMBER(M137)),M137-Setup!$C$11,99999)</f>
        <v>99999</v>
      </c>
    </row>
    <row r="138" customFormat="false" ht="15" hidden="false" customHeight="false" outlineLevel="0" collapsed="false">
      <c r="A138" s="40" t="str">
        <f aca="false">IF(D138="","",ROW()-7)</f>
        <v/>
      </c>
      <c r="B138" s="79"/>
      <c r="C138" s="75"/>
      <c r="D138" s="76"/>
      <c r="E138" s="80"/>
      <c r="F138" s="79"/>
      <c r="G138" s="76"/>
      <c r="H138" s="54" t="str">
        <f aca="false">IF(OR(D138="",B138=""),"",IF(F138&lt;&gt;"",F138,B138+IFERROR(INDEX(Suppliers!$Q$7:$Q$106,MATCH(D138,Suppliers!$B$7:$B$106,0)),Setup!$C$7)))</f>
        <v/>
      </c>
      <c r="I138" s="46" t="str">
        <f aca="false">IF(OR(D138="",C138=""),IF(D138="","",0),SUMIFS(Payments!$D$8:$D$507,Payments!$C$8:$C$507,D138,Payments!$F$8:$F$507,C138))</f>
        <v/>
      </c>
      <c r="J138" s="46" t="str">
        <f aca="false">IF(D138="","",MIN(P138,MAX(0,R138-Q138)))</f>
        <v/>
      </c>
      <c r="K138" s="47" t="str">
        <f aca="false">IF(D138="","",P138-J138)</f>
        <v/>
      </c>
      <c r="L138" s="55" t="str">
        <f aca="false">IF(OR(D138="",N(K138)&lt;=0,H138=""),"",MAX(0,Setup!$C$11-H138))</f>
        <v/>
      </c>
      <c r="M138" s="54" t="str">
        <f aca="false">IF(OR(D138="",B138=""),"",IF(IFERROR(INDEX(Suppliers!$S$7:$S$106,MATCH(D138,Suppliers!$B$7:$B$106,0)),"")="","–",B138+IFERROR(INDEX(Suppliers!$S$7:$S$106,MATCH(D138,Suppliers!$B$7:$B$106,0)),"")))</f>
        <v/>
      </c>
      <c r="N138" s="56" t="str">
        <f aca="false">IF(D138="","",IF(N(K138)&lt;=0,"Paid",IF(AND(ISNUMBER(M138),Setup!$C$11&gt;M138),"⚠ MSME late",IF(N(L138)&gt;0,"Overdue",IF(N(V138)&lt;=Setup!$C$9,"⚠ MSME due soon",IF(K138&lt;E138,"Part paid","Not due"))))))</f>
        <v/>
      </c>
      <c r="O138" s="50" t="str">
        <f aca="false">IF(AND(D138="",B138="",C138="",E138=""),"",IF(D138="","⚠ Pick supplier",IF(ISNA(MATCH(D138,Suppliers!$B$7:$B$106,0)),"⚠ Supplier not in list",IF(B138="","⚠ Enter bill date",IF(N(E138)&lt;=0,"⚠ Enter amount",IF(AND(C138&lt;&gt;"",COUNTIFS($D$8:$D$507,D138,$C$8:$C$507,C138)&gt;1),"⚠ Bill no. used twice",IF(N(I138)&gt;N(E138),"⚠ Paid more than bill","✔")))))))</f>
        <v/>
      </c>
      <c r="P138" s="9" t="n">
        <f aca="false">IF(D138="",0,MAX(0,N(E138)-N(I138)))</f>
        <v>0</v>
      </c>
      <c r="Q138" s="9" t="n">
        <f aca="false">IF(D138="",0,SUMIFS($P$8:$P$507,$D$8:$D$507,D138,$B$8:$B$507,"&lt;"&amp;B138)+SUMIFS($P$8:P137,$D$8:D137,D138,$B$8:B137,B138))</f>
        <v>0</v>
      </c>
      <c r="R138" s="9" t="n">
        <f aca="false">IF(D138="",0,IFERROR(INDEX(Suppliers!$R$7:$R$106,MATCH(D138,Suppliers!$B$7:$B$106,0)),0))</f>
        <v>0</v>
      </c>
      <c r="S138" s="9" t="str">
        <f aca="false">IF(N(K138)&gt;0,IF(H138="",99999,MIN(H138,IF(ISNUMBER(M138),M138,H138)))+ROW()/100000,"")</f>
        <v/>
      </c>
      <c r="U138" s="9" t="n">
        <f aca="false">IF(N(K138)&gt;0,N(L138),0)</f>
        <v>0</v>
      </c>
      <c r="V138" s="9" t="n">
        <f aca="false">IF(AND(N(K138)&gt;0,ISNUMBER(M138)),M138-Setup!$C$11,99999)</f>
        <v>99999</v>
      </c>
    </row>
    <row r="139" customFormat="false" ht="15" hidden="false" customHeight="false" outlineLevel="0" collapsed="false">
      <c r="A139" s="40" t="str">
        <f aca="false">IF(D139="","",ROW()-7)</f>
        <v/>
      </c>
      <c r="B139" s="79"/>
      <c r="C139" s="75"/>
      <c r="D139" s="76"/>
      <c r="E139" s="80"/>
      <c r="F139" s="79"/>
      <c r="G139" s="76"/>
      <c r="H139" s="54" t="str">
        <f aca="false">IF(OR(D139="",B139=""),"",IF(F139&lt;&gt;"",F139,B139+IFERROR(INDEX(Suppliers!$Q$7:$Q$106,MATCH(D139,Suppliers!$B$7:$B$106,0)),Setup!$C$7)))</f>
        <v/>
      </c>
      <c r="I139" s="46" t="str">
        <f aca="false">IF(OR(D139="",C139=""),IF(D139="","",0),SUMIFS(Payments!$D$8:$D$507,Payments!$C$8:$C$507,D139,Payments!$F$8:$F$507,C139))</f>
        <v/>
      </c>
      <c r="J139" s="46" t="str">
        <f aca="false">IF(D139="","",MIN(P139,MAX(0,R139-Q139)))</f>
        <v/>
      </c>
      <c r="K139" s="47" t="str">
        <f aca="false">IF(D139="","",P139-J139)</f>
        <v/>
      </c>
      <c r="L139" s="55" t="str">
        <f aca="false">IF(OR(D139="",N(K139)&lt;=0,H139=""),"",MAX(0,Setup!$C$11-H139))</f>
        <v/>
      </c>
      <c r="M139" s="54" t="str">
        <f aca="false">IF(OR(D139="",B139=""),"",IF(IFERROR(INDEX(Suppliers!$S$7:$S$106,MATCH(D139,Suppliers!$B$7:$B$106,0)),"")="","–",B139+IFERROR(INDEX(Suppliers!$S$7:$S$106,MATCH(D139,Suppliers!$B$7:$B$106,0)),"")))</f>
        <v/>
      </c>
      <c r="N139" s="56" t="str">
        <f aca="false">IF(D139="","",IF(N(K139)&lt;=0,"Paid",IF(AND(ISNUMBER(M139),Setup!$C$11&gt;M139),"⚠ MSME late",IF(N(L139)&gt;0,"Overdue",IF(N(V139)&lt;=Setup!$C$9,"⚠ MSME due soon",IF(K139&lt;E139,"Part paid","Not due"))))))</f>
        <v/>
      </c>
      <c r="O139" s="50" t="str">
        <f aca="false">IF(AND(D139="",B139="",C139="",E139=""),"",IF(D139="","⚠ Pick supplier",IF(ISNA(MATCH(D139,Suppliers!$B$7:$B$106,0)),"⚠ Supplier not in list",IF(B139="","⚠ Enter bill date",IF(N(E139)&lt;=0,"⚠ Enter amount",IF(AND(C139&lt;&gt;"",COUNTIFS($D$8:$D$507,D139,$C$8:$C$507,C139)&gt;1),"⚠ Bill no. used twice",IF(N(I139)&gt;N(E139),"⚠ Paid more than bill","✔")))))))</f>
        <v/>
      </c>
      <c r="P139" s="9" t="n">
        <f aca="false">IF(D139="",0,MAX(0,N(E139)-N(I139)))</f>
        <v>0</v>
      </c>
      <c r="Q139" s="9" t="n">
        <f aca="false">IF(D139="",0,SUMIFS($P$8:$P$507,$D$8:$D$507,D139,$B$8:$B$507,"&lt;"&amp;B139)+SUMIFS($P$8:P138,$D$8:D138,D139,$B$8:B138,B139))</f>
        <v>0</v>
      </c>
      <c r="R139" s="9" t="n">
        <f aca="false">IF(D139="",0,IFERROR(INDEX(Suppliers!$R$7:$R$106,MATCH(D139,Suppliers!$B$7:$B$106,0)),0))</f>
        <v>0</v>
      </c>
      <c r="S139" s="9" t="str">
        <f aca="false">IF(N(K139)&gt;0,IF(H139="",99999,MIN(H139,IF(ISNUMBER(M139),M139,H139)))+ROW()/100000,"")</f>
        <v/>
      </c>
      <c r="U139" s="9" t="n">
        <f aca="false">IF(N(K139)&gt;0,N(L139),0)</f>
        <v>0</v>
      </c>
      <c r="V139" s="9" t="n">
        <f aca="false">IF(AND(N(K139)&gt;0,ISNUMBER(M139)),M139-Setup!$C$11,99999)</f>
        <v>99999</v>
      </c>
    </row>
    <row r="140" customFormat="false" ht="15" hidden="false" customHeight="false" outlineLevel="0" collapsed="false">
      <c r="A140" s="40" t="str">
        <f aca="false">IF(D140="","",ROW()-7)</f>
        <v/>
      </c>
      <c r="B140" s="79"/>
      <c r="C140" s="75"/>
      <c r="D140" s="76"/>
      <c r="E140" s="80"/>
      <c r="F140" s="79"/>
      <c r="G140" s="76"/>
      <c r="H140" s="54" t="str">
        <f aca="false">IF(OR(D140="",B140=""),"",IF(F140&lt;&gt;"",F140,B140+IFERROR(INDEX(Suppliers!$Q$7:$Q$106,MATCH(D140,Suppliers!$B$7:$B$106,0)),Setup!$C$7)))</f>
        <v/>
      </c>
      <c r="I140" s="46" t="str">
        <f aca="false">IF(OR(D140="",C140=""),IF(D140="","",0),SUMIFS(Payments!$D$8:$D$507,Payments!$C$8:$C$507,D140,Payments!$F$8:$F$507,C140))</f>
        <v/>
      </c>
      <c r="J140" s="46" t="str">
        <f aca="false">IF(D140="","",MIN(P140,MAX(0,R140-Q140)))</f>
        <v/>
      </c>
      <c r="K140" s="47" t="str">
        <f aca="false">IF(D140="","",P140-J140)</f>
        <v/>
      </c>
      <c r="L140" s="55" t="str">
        <f aca="false">IF(OR(D140="",N(K140)&lt;=0,H140=""),"",MAX(0,Setup!$C$11-H140))</f>
        <v/>
      </c>
      <c r="M140" s="54" t="str">
        <f aca="false">IF(OR(D140="",B140=""),"",IF(IFERROR(INDEX(Suppliers!$S$7:$S$106,MATCH(D140,Suppliers!$B$7:$B$106,0)),"")="","–",B140+IFERROR(INDEX(Suppliers!$S$7:$S$106,MATCH(D140,Suppliers!$B$7:$B$106,0)),"")))</f>
        <v/>
      </c>
      <c r="N140" s="56" t="str">
        <f aca="false">IF(D140="","",IF(N(K140)&lt;=0,"Paid",IF(AND(ISNUMBER(M140),Setup!$C$11&gt;M140),"⚠ MSME late",IF(N(L140)&gt;0,"Overdue",IF(N(V140)&lt;=Setup!$C$9,"⚠ MSME due soon",IF(K140&lt;E140,"Part paid","Not due"))))))</f>
        <v/>
      </c>
      <c r="O140" s="50" t="str">
        <f aca="false">IF(AND(D140="",B140="",C140="",E140=""),"",IF(D140="","⚠ Pick supplier",IF(ISNA(MATCH(D140,Suppliers!$B$7:$B$106,0)),"⚠ Supplier not in list",IF(B140="","⚠ Enter bill date",IF(N(E140)&lt;=0,"⚠ Enter amount",IF(AND(C140&lt;&gt;"",COUNTIFS($D$8:$D$507,D140,$C$8:$C$507,C140)&gt;1),"⚠ Bill no. used twice",IF(N(I140)&gt;N(E140),"⚠ Paid more than bill","✔")))))))</f>
        <v/>
      </c>
      <c r="P140" s="9" t="n">
        <f aca="false">IF(D140="",0,MAX(0,N(E140)-N(I140)))</f>
        <v>0</v>
      </c>
      <c r="Q140" s="9" t="n">
        <f aca="false">IF(D140="",0,SUMIFS($P$8:$P$507,$D$8:$D$507,D140,$B$8:$B$507,"&lt;"&amp;B140)+SUMIFS($P$8:P139,$D$8:D139,D140,$B$8:B139,B140))</f>
        <v>0</v>
      </c>
      <c r="R140" s="9" t="n">
        <f aca="false">IF(D140="",0,IFERROR(INDEX(Suppliers!$R$7:$R$106,MATCH(D140,Suppliers!$B$7:$B$106,0)),0))</f>
        <v>0</v>
      </c>
      <c r="S140" s="9" t="str">
        <f aca="false">IF(N(K140)&gt;0,IF(H140="",99999,MIN(H140,IF(ISNUMBER(M140),M140,H140)))+ROW()/100000,"")</f>
        <v/>
      </c>
      <c r="U140" s="9" t="n">
        <f aca="false">IF(N(K140)&gt;0,N(L140),0)</f>
        <v>0</v>
      </c>
      <c r="V140" s="9" t="n">
        <f aca="false">IF(AND(N(K140)&gt;0,ISNUMBER(M140)),M140-Setup!$C$11,99999)</f>
        <v>99999</v>
      </c>
    </row>
    <row r="141" customFormat="false" ht="15" hidden="false" customHeight="false" outlineLevel="0" collapsed="false">
      <c r="A141" s="40" t="str">
        <f aca="false">IF(D141="","",ROW()-7)</f>
        <v/>
      </c>
      <c r="B141" s="79"/>
      <c r="C141" s="75"/>
      <c r="D141" s="76"/>
      <c r="E141" s="80"/>
      <c r="F141" s="79"/>
      <c r="G141" s="76"/>
      <c r="H141" s="54" t="str">
        <f aca="false">IF(OR(D141="",B141=""),"",IF(F141&lt;&gt;"",F141,B141+IFERROR(INDEX(Suppliers!$Q$7:$Q$106,MATCH(D141,Suppliers!$B$7:$B$106,0)),Setup!$C$7)))</f>
        <v/>
      </c>
      <c r="I141" s="46" t="str">
        <f aca="false">IF(OR(D141="",C141=""),IF(D141="","",0),SUMIFS(Payments!$D$8:$D$507,Payments!$C$8:$C$507,D141,Payments!$F$8:$F$507,C141))</f>
        <v/>
      </c>
      <c r="J141" s="46" t="str">
        <f aca="false">IF(D141="","",MIN(P141,MAX(0,R141-Q141)))</f>
        <v/>
      </c>
      <c r="K141" s="47" t="str">
        <f aca="false">IF(D141="","",P141-J141)</f>
        <v/>
      </c>
      <c r="L141" s="55" t="str">
        <f aca="false">IF(OR(D141="",N(K141)&lt;=0,H141=""),"",MAX(0,Setup!$C$11-H141))</f>
        <v/>
      </c>
      <c r="M141" s="54" t="str">
        <f aca="false">IF(OR(D141="",B141=""),"",IF(IFERROR(INDEX(Suppliers!$S$7:$S$106,MATCH(D141,Suppliers!$B$7:$B$106,0)),"")="","–",B141+IFERROR(INDEX(Suppliers!$S$7:$S$106,MATCH(D141,Suppliers!$B$7:$B$106,0)),"")))</f>
        <v/>
      </c>
      <c r="N141" s="56" t="str">
        <f aca="false">IF(D141="","",IF(N(K141)&lt;=0,"Paid",IF(AND(ISNUMBER(M141),Setup!$C$11&gt;M141),"⚠ MSME late",IF(N(L141)&gt;0,"Overdue",IF(N(V141)&lt;=Setup!$C$9,"⚠ MSME due soon",IF(K141&lt;E141,"Part paid","Not due"))))))</f>
        <v/>
      </c>
      <c r="O141" s="50" t="str">
        <f aca="false">IF(AND(D141="",B141="",C141="",E141=""),"",IF(D141="","⚠ Pick supplier",IF(ISNA(MATCH(D141,Suppliers!$B$7:$B$106,0)),"⚠ Supplier not in list",IF(B141="","⚠ Enter bill date",IF(N(E141)&lt;=0,"⚠ Enter amount",IF(AND(C141&lt;&gt;"",COUNTIFS($D$8:$D$507,D141,$C$8:$C$507,C141)&gt;1),"⚠ Bill no. used twice",IF(N(I141)&gt;N(E141),"⚠ Paid more than bill","✔")))))))</f>
        <v/>
      </c>
      <c r="P141" s="9" t="n">
        <f aca="false">IF(D141="",0,MAX(0,N(E141)-N(I141)))</f>
        <v>0</v>
      </c>
      <c r="Q141" s="9" t="n">
        <f aca="false">IF(D141="",0,SUMIFS($P$8:$P$507,$D$8:$D$507,D141,$B$8:$B$507,"&lt;"&amp;B141)+SUMIFS($P$8:P140,$D$8:D140,D141,$B$8:B140,B141))</f>
        <v>0</v>
      </c>
      <c r="R141" s="9" t="n">
        <f aca="false">IF(D141="",0,IFERROR(INDEX(Suppliers!$R$7:$R$106,MATCH(D141,Suppliers!$B$7:$B$106,0)),0))</f>
        <v>0</v>
      </c>
      <c r="S141" s="9" t="str">
        <f aca="false">IF(N(K141)&gt;0,IF(H141="",99999,MIN(H141,IF(ISNUMBER(M141),M141,H141)))+ROW()/100000,"")</f>
        <v/>
      </c>
      <c r="U141" s="9" t="n">
        <f aca="false">IF(N(K141)&gt;0,N(L141),0)</f>
        <v>0</v>
      </c>
      <c r="V141" s="9" t="n">
        <f aca="false">IF(AND(N(K141)&gt;0,ISNUMBER(M141)),M141-Setup!$C$11,99999)</f>
        <v>99999</v>
      </c>
    </row>
    <row r="142" customFormat="false" ht="15" hidden="false" customHeight="false" outlineLevel="0" collapsed="false">
      <c r="A142" s="40" t="str">
        <f aca="false">IF(D142="","",ROW()-7)</f>
        <v/>
      </c>
      <c r="B142" s="79"/>
      <c r="C142" s="75"/>
      <c r="D142" s="76"/>
      <c r="E142" s="80"/>
      <c r="F142" s="79"/>
      <c r="G142" s="76"/>
      <c r="H142" s="54" t="str">
        <f aca="false">IF(OR(D142="",B142=""),"",IF(F142&lt;&gt;"",F142,B142+IFERROR(INDEX(Suppliers!$Q$7:$Q$106,MATCH(D142,Suppliers!$B$7:$B$106,0)),Setup!$C$7)))</f>
        <v/>
      </c>
      <c r="I142" s="46" t="str">
        <f aca="false">IF(OR(D142="",C142=""),IF(D142="","",0),SUMIFS(Payments!$D$8:$D$507,Payments!$C$8:$C$507,D142,Payments!$F$8:$F$507,C142))</f>
        <v/>
      </c>
      <c r="J142" s="46" t="str">
        <f aca="false">IF(D142="","",MIN(P142,MAX(0,R142-Q142)))</f>
        <v/>
      </c>
      <c r="K142" s="47" t="str">
        <f aca="false">IF(D142="","",P142-J142)</f>
        <v/>
      </c>
      <c r="L142" s="55" t="str">
        <f aca="false">IF(OR(D142="",N(K142)&lt;=0,H142=""),"",MAX(0,Setup!$C$11-H142))</f>
        <v/>
      </c>
      <c r="M142" s="54" t="str">
        <f aca="false">IF(OR(D142="",B142=""),"",IF(IFERROR(INDEX(Suppliers!$S$7:$S$106,MATCH(D142,Suppliers!$B$7:$B$106,0)),"")="","–",B142+IFERROR(INDEX(Suppliers!$S$7:$S$106,MATCH(D142,Suppliers!$B$7:$B$106,0)),"")))</f>
        <v/>
      </c>
      <c r="N142" s="56" t="str">
        <f aca="false">IF(D142="","",IF(N(K142)&lt;=0,"Paid",IF(AND(ISNUMBER(M142),Setup!$C$11&gt;M142),"⚠ MSME late",IF(N(L142)&gt;0,"Overdue",IF(N(V142)&lt;=Setup!$C$9,"⚠ MSME due soon",IF(K142&lt;E142,"Part paid","Not due"))))))</f>
        <v/>
      </c>
      <c r="O142" s="50" t="str">
        <f aca="false">IF(AND(D142="",B142="",C142="",E142=""),"",IF(D142="","⚠ Pick supplier",IF(ISNA(MATCH(D142,Suppliers!$B$7:$B$106,0)),"⚠ Supplier not in list",IF(B142="","⚠ Enter bill date",IF(N(E142)&lt;=0,"⚠ Enter amount",IF(AND(C142&lt;&gt;"",COUNTIFS($D$8:$D$507,D142,$C$8:$C$507,C142)&gt;1),"⚠ Bill no. used twice",IF(N(I142)&gt;N(E142),"⚠ Paid more than bill","✔")))))))</f>
        <v/>
      </c>
      <c r="P142" s="9" t="n">
        <f aca="false">IF(D142="",0,MAX(0,N(E142)-N(I142)))</f>
        <v>0</v>
      </c>
      <c r="Q142" s="9" t="n">
        <f aca="false">IF(D142="",0,SUMIFS($P$8:$P$507,$D$8:$D$507,D142,$B$8:$B$507,"&lt;"&amp;B142)+SUMIFS($P$8:P141,$D$8:D141,D142,$B$8:B141,B142))</f>
        <v>0</v>
      </c>
      <c r="R142" s="9" t="n">
        <f aca="false">IF(D142="",0,IFERROR(INDEX(Suppliers!$R$7:$R$106,MATCH(D142,Suppliers!$B$7:$B$106,0)),0))</f>
        <v>0</v>
      </c>
      <c r="S142" s="9" t="str">
        <f aca="false">IF(N(K142)&gt;0,IF(H142="",99999,MIN(H142,IF(ISNUMBER(M142),M142,H142)))+ROW()/100000,"")</f>
        <v/>
      </c>
      <c r="U142" s="9" t="n">
        <f aca="false">IF(N(K142)&gt;0,N(L142),0)</f>
        <v>0</v>
      </c>
      <c r="V142" s="9" t="n">
        <f aca="false">IF(AND(N(K142)&gt;0,ISNUMBER(M142)),M142-Setup!$C$11,99999)</f>
        <v>99999</v>
      </c>
    </row>
    <row r="143" customFormat="false" ht="15" hidden="false" customHeight="false" outlineLevel="0" collapsed="false">
      <c r="A143" s="40" t="str">
        <f aca="false">IF(D143="","",ROW()-7)</f>
        <v/>
      </c>
      <c r="B143" s="79"/>
      <c r="C143" s="75"/>
      <c r="D143" s="76"/>
      <c r="E143" s="80"/>
      <c r="F143" s="79"/>
      <c r="G143" s="76"/>
      <c r="H143" s="54" t="str">
        <f aca="false">IF(OR(D143="",B143=""),"",IF(F143&lt;&gt;"",F143,B143+IFERROR(INDEX(Suppliers!$Q$7:$Q$106,MATCH(D143,Suppliers!$B$7:$B$106,0)),Setup!$C$7)))</f>
        <v/>
      </c>
      <c r="I143" s="46" t="str">
        <f aca="false">IF(OR(D143="",C143=""),IF(D143="","",0),SUMIFS(Payments!$D$8:$D$507,Payments!$C$8:$C$507,D143,Payments!$F$8:$F$507,C143))</f>
        <v/>
      </c>
      <c r="J143" s="46" t="str">
        <f aca="false">IF(D143="","",MIN(P143,MAX(0,R143-Q143)))</f>
        <v/>
      </c>
      <c r="K143" s="47" t="str">
        <f aca="false">IF(D143="","",P143-J143)</f>
        <v/>
      </c>
      <c r="L143" s="55" t="str">
        <f aca="false">IF(OR(D143="",N(K143)&lt;=0,H143=""),"",MAX(0,Setup!$C$11-H143))</f>
        <v/>
      </c>
      <c r="M143" s="54" t="str">
        <f aca="false">IF(OR(D143="",B143=""),"",IF(IFERROR(INDEX(Suppliers!$S$7:$S$106,MATCH(D143,Suppliers!$B$7:$B$106,0)),"")="","–",B143+IFERROR(INDEX(Suppliers!$S$7:$S$106,MATCH(D143,Suppliers!$B$7:$B$106,0)),"")))</f>
        <v/>
      </c>
      <c r="N143" s="56" t="str">
        <f aca="false">IF(D143="","",IF(N(K143)&lt;=0,"Paid",IF(AND(ISNUMBER(M143),Setup!$C$11&gt;M143),"⚠ MSME late",IF(N(L143)&gt;0,"Overdue",IF(N(V143)&lt;=Setup!$C$9,"⚠ MSME due soon",IF(K143&lt;E143,"Part paid","Not due"))))))</f>
        <v/>
      </c>
      <c r="O143" s="50" t="str">
        <f aca="false">IF(AND(D143="",B143="",C143="",E143=""),"",IF(D143="","⚠ Pick supplier",IF(ISNA(MATCH(D143,Suppliers!$B$7:$B$106,0)),"⚠ Supplier not in list",IF(B143="","⚠ Enter bill date",IF(N(E143)&lt;=0,"⚠ Enter amount",IF(AND(C143&lt;&gt;"",COUNTIFS($D$8:$D$507,D143,$C$8:$C$507,C143)&gt;1),"⚠ Bill no. used twice",IF(N(I143)&gt;N(E143),"⚠ Paid more than bill","✔")))))))</f>
        <v/>
      </c>
      <c r="P143" s="9" t="n">
        <f aca="false">IF(D143="",0,MAX(0,N(E143)-N(I143)))</f>
        <v>0</v>
      </c>
      <c r="Q143" s="9" t="n">
        <f aca="false">IF(D143="",0,SUMIFS($P$8:$P$507,$D$8:$D$507,D143,$B$8:$B$507,"&lt;"&amp;B143)+SUMIFS($P$8:P142,$D$8:D142,D143,$B$8:B142,B143))</f>
        <v>0</v>
      </c>
      <c r="R143" s="9" t="n">
        <f aca="false">IF(D143="",0,IFERROR(INDEX(Suppliers!$R$7:$R$106,MATCH(D143,Suppliers!$B$7:$B$106,0)),0))</f>
        <v>0</v>
      </c>
      <c r="S143" s="9" t="str">
        <f aca="false">IF(N(K143)&gt;0,IF(H143="",99999,MIN(H143,IF(ISNUMBER(M143),M143,H143)))+ROW()/100000,"")</f>
        <v/>
      </c>
      <c r="U143" s="9" t="n">
        <f aca="false">IF(N(K143)&gt;0,N(L143),0)</f>
        <v>0</v>
      </c>
      <c r="V143" s="9" t="n">
        <f aca="false">IF(AND(N(K143)&gt;0,ISNUMBER(M143)),M143-Setup!$C$11,99999)</f>
        <v>99999</v>
      </c>
    </row>
    <row r="144" customFormat="false" ht="15" hidden="false" customHeight="false" outlineLevel="0" collapsed="false">
      <c r="A144" s="40" t="str">
        <f aca="false">IF(D144="","",ROW()-7)</f>
        <v/>
      </c>
      <c r="B144" s="79"/>
      <c r="C144" s="75"/>
      <c r="D144" s="76"/>
      <c r="E144" s="80"/>
      <c r="F144" s="79"/>
      <c r="G144" s="76"/>
      <c r="H144" s="54" t="str">
        <f aca="false">IF(OR(D144="",B144=""),"",IF(F144&lt;&gt;"",F144,B144+IFERROR(INDEX(Suppliers!$Q$7:$Q$106,MATCH(D144,Suppliers!$B$7:$B$106,0)),Setup!$C$7)))</f>
        <v/>
      </c>
      <c r="I144" s="46" t="str">
        <f aca="false">IF(OR(D144="",C144=""),IF(D144="","",0),SUMIFS(Payments!$D$8:$D$507,Payments!$C$8:$C$507,D144,Payments!$F$8:$F$507,C144))</f>
        <v/>
      </c>
      <c r="J144" s="46" t="str">
        <f aca="false">IF(D144="","",MIN(P144,MAX(0,R144-Q144)))</f>
        <v/>
      </c>
      <c r="K144" s="47" t="str">
        <f aca="false">IF(D144="","",P144-J144)</f>
        <v/>
      </c>
      <c r="L144" s="55" t="str">
        <f aca="false">IF(OR(D144="",N(K144)&lt;=0,H144=""),"",MAX(0,Setup!$C$11-H144))</f>
        <v/>
      </c>
      <c r="M144" s="54" t="str">
        <f aca="false">IF(OR(D144="",B144=""),"",IF(IFERROR(INDEX(Suppliers!$S$7:$S$106,MATCH(D144,Suppliers!$B$7:$B$106,0)),"")="","–",B144+IFERROR(INDEX(Suppliers!$S$7:$S$106,MATCH(D144,Suppliers!$B$7:$B$106,0)),"")))</f>
        <v/>
      </c>
      <c r="N144" s="56" t="str">
        <f aca="false">IF(D144="","",IF(N(K144)&lt;=0,"Paid",IF(AND(ISNUMBER(M144),Setup!$C$11&gt;M144),"⚠ MSME late",IF(N(L144)&gt;0,"Overdue",IF(N(V144)&lt;=Setup!$C$9,"⚠ MSME due soon",IF(K144&lt;E144,"Part paid","Not due"))))))</f>
        <v/>
      </c>
      <c r="O144" s="50" t="str">
        <f aca="false">IF(AND(D144="",B144="",C144="",E144=""),"",IF(D144="","⚠ Pick supplier",IF(ISNA(MATCH(D144,Suppliers!$B$7:$B$106,0)),"⚠ Supplier not in list",IF(B144="","⚠ Enter bill date",IF(N(E144)&lt;=0,"⚠ Enter amount",IF(AND(C144&lt;&gt;"",COUNTIFS($D$8:$D$507,D144,$C$8:$C$507,C144)&gt;1),"⚠ Bill no. used twice",IF(N(I144)&gt;N(E144),"⚠ Paid more than bill","✔")))))))</f>
        <v/>
      </c>
      <c r="P144" s="9" t="n">
        <f aca="false">IF(D144="",0,MAX(0,N(E144)-N(I144)))</f>
        <v>0</v>
      </c>
      <c r="Q144" s="9" t="n">
        <f aca="false">IF(D144="",0,SUMIFS($P$8:$P$507,$D$8:$D$507,D144,$B$8:$B$507,"&lt;"&amp;B144)+SUMIFS($P$8:P143,$D$8:D143,D144,$B$8:B143,B144))</f>
        <v>0</v>
      </c>
      <c r="R144" s="9" t="n">
        <f aca="false">IF(D144="",0,IFERROR(INDEX(Suppliers!$R$7:$R$106,MATCH(D144,Suppliers!$B$7:$B$106,0)),0))</f>
        <v>0</v>
      </c>
      <c r="S144" s="9" t="str">
        <f aca="false">IF(N(K144)&gt;0,IF(H144="",99999,MIN(H144,IF(ISNUMBER(M144),M144,H144)))+ROW()/100000,"")</f>
        <v/>
      </c>
      <c r="U144" s="9" t="n">
        <f aca="false">IF(N(K144)&gt;0,N(L144),0)</f>
        <v>0</v>
      </c>
      <c r="V144" s="9" t="n">
        <f aca="false">IF(AND(N(K144)&gt;0,ISNUMBER(M144)),M144-Setup!$C$11,99999)</f>
        <v>99999</v>
      </c>
    </row>
    <row r="145" customFormat="false" ht="15" hidden="false" customHeight="false" outlineLevel="0" collapsed="false">
      <c r="A145" s="40" t="str">
        <f aca="false">IF(D145="","",ROW()-7)</f>
        <v/>
      </c>
      <c r="B145" s="79"/>
      <c r="C145" s="75"/>
      <c r="D145" s="76"/>
      <c r="E145" s="80"/>
      <c r="F145" s="79"/>
      <c r="G145" s="76"/>
      <c r="H145" s="54" t="str">
        <f aca="false">IF(OR(D145="",B145=""),"",IF(F145&lt;&gt;"",F145,B145+IFERROR(INDEX(Suppliers!$Q$7:$Q$106,MATCH(D145,Suppliers!$B$7:$B$106,0)),Setup!$C$7)))</f>
        <v/>
      </c>
      <c r="I145" s="46" t="str">
        <f aca="false">IF(OR(D145="",C145=""),IF(D145="","",0),SUMIFS(Payments!$D$8:$D$507,Payments!$C$8:$C$507,D145,Payments!$F$8:$F$507,C145))</f>
        <v/>
      </c>
      <c r="J145" s="46" t="str">
        <f aca="false">IF(D145="","",MIN(P145,MAX(0,R145-Q145)))</f>
        <v/>
      </c>
      <c r="K145" s="47" t="str">
        <f aca="false">IF(D145="","",P145-J145)</f>
        <v/>
      </c>
      <c r="L145" s="55" t="str">
        <f aca="false">IF(OR(D145="",N(K145)&lt;=0,H145=""),"",MAX(0,Setup!$C$11-H145))</f>
        <v/>
      </c>
      <c r="M145" s="54" t="str">
        <f aca="false">IF(OR(D145="",B145=""),"",IF(IFERROR(INDEX(Suppliers!$S$7:$S$106,MATCH(D145,Suppliers!$B$7:$B$106,0)),"")="","–",B145+IFERROR(INDEX(Suppliers!$S$7:$S$106,MATCH(D145,Suppliers!$B$7:$B$106,0)),"")))</f>
        <v/>
      </c>
      <c r="N145" s="56" t="str">
        <f aca="false">IF(D145="","",IF(N(K145)&lt;=0,"Paid",IF(AND(ISNUMBER(M145),Setup!$C$11&gt;M145),"⚠ MSME late",IF(N(L145)&gt;0,"Overdue",IF(N(V145)&lt;=Setup!$C$9,"⚠ MSME due soon",IF(K145&lt;E145,"Part paid","Not due"))))))</f>
        <v/>
      </c>
      <c r="O145" s="50" t="str">
        <f aca="false">IF(AND(D145="",B145="",C145="",E145=""),"",IF(D145="","⚠ Pick supplier",IF(ISNA(MATCH(D145,Suppliers!$B$7:$B$106,0)),"⚠ Supplier not in list",IF(B145="","⚠ Enter bill date",IF(N(E145)&lt;=0,"⚠ Enter amount",IF(AND(C145&lt;&gt;"",COUNTIFS($D$8:$D$507,D145,$C$8:$C$507,C145)&gt;1),"⚠ Bill no. used twice",IF(N(I145)&gt;N(E145),"⚠ Paid more than bill","✔")))))))</f>
        <v/>
      </c>
      <c r="P145" s="9" t="n">
        <f aca="false">IF(D145="",0,MAX(0,N(E145)-N(I145)))</f>
        <v>0</v>
      </c>
      <c r="Q145" s="9" t="n">
        <f aca="false">IF(D145="",0,SUMIFS($P$8:$P$507,$D$8:$D$507,D145,$B$8:$B$507,"&lt;"&amp;B145)+SUMIFS($P$8:P144,$D$8:D144,D145,$B$8:B144,B145))</f>
        <v>0</v>
      </c>
      <c r="R145" s="9" t="n">
        <f aca="false">IF(D145="",0,IFERROR(INDEX(Suppliers!$R$7:$R$106,MATCH(D145,Suppliers!$B$7:$B$106,0)),0))</f>
        <v>0</v>
      </c>
      <c r="S145" s="9" t="str">
        <f aca="false">IF(N(K145)&gt;0,IF(H145="",99999,MIN(H145,IF(ISNUMBER(M145),M145,H145)))+ROW()/100000,"")</f>
        <v/>
      </c>
      <c r="U145" s="9" t="n">
        <f aca="false">IF(N(K145)&gt;0,N(L145),0)</f>
        <v>0</v>
      </c>
      <c r="V145" s="9" t="n">
        <f aca="false">IF(AND(N(K145)&gt;0,ISNUMBER(M145)),M145-Setup!$C$11,99999)</f>
        <v>99999</v>
      </c>
    </row>
    <row r="146" customFormat="false" ht="15" hidden="false" customHeight="false" outlineLevel="0" collapsed="false">
      <c r="A146" s="40" t="str">
        <f aca="false">IF(D146="","",ROW()-7)</f>
        <v/>
      </c>
      <c r="B146" s="79"/>
      <c r="C146" s="75"/>
      <c r="D146" s="76"/>
      <c r="E146" s="80"/>
      <c r="F146" s="79"/>
      <c r="G146" s="76"/>
      <c r="H146" s="54" t="str">
        <f aca="false">IF(OR(D146="",B146=""),"",IF(F146&lt;&gt;"",F146,B146+IFERROR(INDEX(Suppliers!$Q$7:$Q$106,MATCH(D146,Suppliers!$B$7:$B$106,0)),Setup!$C$7)))</f>
        <v/>
      </c>
      <c r="I146" s="46" t="str">
        <f aca="false">IF(OR(D146="",C146=""),IF(D146="","",0),SUMIFS(Payments!$D$8:$D$507,Payments!$C$8:$C$507,D146,Payments!$F$8:$F$507,C146))</f>
        <v/>
      </c>
      <c r="J146" s="46" t="str">
        <f aca="false">IF(D146="","",MIN(P146,MAX(0,R146-Q146)))</f>
        <v/>
      </c>
      <c r="K146" s="47" t="str">
        <f aca="false">IF(D146="","",P146-J146)</f>
        <v/>
      </c>
      <c r="L146" s="55" t="str">
        <f aca="false">IF(OR(D146="",N(K146)&lt;=0,H146=""),"",MAX(0,Setup!$C$11-H146))</f>
        <v/>
      </c>
      <c r="M146" s="54" t="str">
        <f aca="false">IF(OR(D146="",B146=""),"",IF(IFERROR(INDEX(Suppliers!$S$7:$S$106,MATCH(D146,Suppliers!$B$7:$B$106,0)),"")="","–",B146+IFERROR(INDEX(Suppliers!$S$7:$S$106,MATCH(D146,Suppliers!$B$7:$B$106,0)),"")))</f>
        <v/>
      </c>
      <c r="N146" s="56" t="str">
        <f aca="false">IF(D146="","",IF(N(K146)&lt;=0,"Paid",IF(AND(ISNUMBER(M146),Setup!$C$11&gt;M146),"⚠ MSME late",IF(N(L146)&gt;0,"Overdue",IF(N(V146)&lt;=Setup!$C$9,"⚠ MSME due soon",IF(K146&lt;E146,"Part paid","Not due"))))))</f>
        <v/>
      </c>
      <c r="O146" s="50" t="str">
        <f aca="false">IF(AND(D146="",B146="",C146="",E146=""),"",IF(D146="","⚠ Pick supplier",IF(ISNA(MATCH(D146,Suppliers!$B$7:$B$106,0)),"⚠ Supplier not in list",IF(B146="","⚠ Enter bill date",IF(N(E146)&lt;=0,"⚠ Enter amount",IF(AND(C146&lt;&gt;"",COUNTIFS($D$8:$D$507,D146,$C$8:$C$507,C146)&gt;1),"⚠ Bill no. used twice",IF(N(I146)&gt;N(E146),"⚠ Paid more than bill","✔")))))))</f>
        <v/>
      </c>
      <c r="P146" s="9" t="n">
        <f aca="false">IF(D146="",0,MAX(0,N(E146)-N(I146)))</f>
        <v>0</v>
      </c>
      <c r="Q146" s="9" t="n">
        <f aca="false">IF(D146="",0,SUMIFS($P$8:$P$507,$D$8:$D$507,D146,$B$8:$B$507,"&lt;"&amp;B146)+SUMIFS($P$8:P145,$D$8:D145,D146,$B$8:B145,B146))</f>
        <v>0</v>
      </c>
      <c r="R146" s="9" t="n">
        <f aca="false">IF(D146="",0,IFERROR(INDEX(Suppliers!$R$7:$R$106,MATCH(D146,Suppliers!$B$7:$B$106,0)),0))</f>
        <v>0</v>
      </c>
      <c r="S146" s="9" t="str">
        <f aca="false">IF(N(K146)&gt;0,IF(H146="",99999,MIN(H146,IF(ISNUMBER(M146),M146,H146)))+ROW()/100000,"")</f>
        <v/>
      </c>
      <c r="U146" s="9" t="n">
        <f aca="false">IF(N(K146)&gt;0,N(L146),0)</f>
        <v>0</v>
      </c>
      <c r="V146" s="9" t="n">
        <f aca="false">IF(AND(N(K146)&gt;0,ISNUMBER(M146)),M146-Setup!$C$11,99999)</f>
        <v>99999</v>
      </c>
    </row>
    <row r="147" customFormat="false" ht="15" hidden="false" customHeight="false" outlineLevel="0" collapsed="false">
      <c r="A147" s="40" t="str">
        <f aca="false">IF(D147="","",ROW()-7)</f>
        <v/>
      </c>
      <c r="B147" s="79"/>
      <c r="C147" s="75"/>
      <c r="D147" s="76"/>
      <c r="E147" s="80"/>
      <c r="F147" s="79"/>
      <c r="G147" s="76"/>
      <c r="H147" s="54" t="str">
        <f aca="false">IF(OR(D147="",B147=""),"",IF(F147&lt;&gt;"",F147,B147+IFERROR(INDEX(Suppliers!$Q$7:$Q$106,MATCH(D147,Suppliers!$B$7:$B$106,0)),Setup!$C$7)))</f>
        <v/>
      </c>
      <c r="I147" s="46" t="str">
        <f aca="false">IF(OR(D147="",C147=""),IF(D147="","",0),SUMIFS(Payments!$D$8:$D$507,Payments!$C$8:$C$507,D147,Payments!$F$8:$F$507,C147))</f>
        <v/>
      </c>
      <c r="J147" s="46" t="str">
        <f aca="false">IF(D147="","",MIN(P147,MAX(0,R147-Q147)))</f>
        <v/>
      </c>
      <c r="K147" s="47" t="str">
        <f aca="false">IF(D147="","",P147-J147)</f>
        <v/>
      </c>
      <c r="L147" s="55" t="str">
        <f aca="false">IF(OR(D147="",N(K147)&lt;=0,H147=""),"",MAX(0,Setup!$C$11-H147))</f>
        <v/>
      </c>
      <c r="M147" s="54" t="str">
        <f aca="false">IF(OR(D147="",B147=""),"",IF(IFERROR(INDEX(Suppliers!$S$7:$S$106,MATCH(D147,Suppliers!$B$7:$B$106,0)),"")="","–",B147+IFERROR(INDEX(Suppliers!$S$7:$S$106,MATCH(D147,Suppliers!$B$7:$B$106,0)),"")))</f>
        <v/>
      </c>
      <c r="N147" s="56" t="str">
        <f aca="false">IF(D147="","",IF(N(K147)&lt;=0,"Paid",IF(AND(ISNUMBER(M147),Setup!$C$11&gt;M147),"⚠ MSME late",IF(N(L147)&gt;0,"Overdue",IF(N(V147)&lt;=Setup!$C$9,"⚠ MSME due soon",IF(K147&lt;E147,"Part paid","Not due"))))))</f>
        <v/>
      </c>
      <c r="O147" s="50" t="str">
        <f aca="false">IF(AND(D147="",B147="",C147="",E147=""),"",IF(D147="","⚠ Pick supplier",IF(ISNA(MATCH(D147,Suppliers!$B$7:$B$106,0)),"⚠ Supplier not in list",IF(B147="","⚠ Enter bill date",IF(N(E147)&lt;=0,"⚠ Enter amount",IF(AND(C147&lt;&gt;"",COUNTIFS($D$8:$D$507,D147,$C$8:$C$507,C147)&gt;1),"⚠ Bill no. used twice",IF(N(I147)&gt;N(E147),"⚠ Paid more than bill","✔")))))))</f>
        <v/>
      </c>
      <c r="P147" s="9" t="n">
        <f aca="false">IF(D147="",0,MAX(0,N(E147)-N(I147)))</f>
        <v>0</v>
      </c>
      <c r="Q147" s="9" t="n">
        <f aca="false">IF(D147="",0,SUMIFS($P$8:$P$507,$D$8:$D$507,D147,$B$8:$B$507,"&lt;"&amp;B147)+SUMIFS($P$8:P146,$D$8:D146,D147,$B$8:B146,B147))</f>
        <v>0</v>
      </c>
      <c r="R147" s="9" t="n">
        <f aca="false">IF(D147="",0,IFERROR(INDEX(Suppliers!$R$7:$R$106,MATCH(D147,Suppliers!$B$7:$B$106,0)),0))</f>
        <v>0</v>
      </c>
      <c r="S147" s="9" t="str">
        <f aca="false">IF(N(K147)&gt;0,IF(H147="",99999,MIN(H147,IF(ISNUMBER(M147),M147,H147)))+ROW()/100000,"")</f>
        <v/>
      </c>
      <c r="U147" s="9" t="n">
        <f aca="false">IF(N(K147)&gt;0,N(L147),0)</f>
        <v>0</v>
      </c>
      <c r="V147" s="9" t="n">
        <f aca="false">IF(AND(N(K147)&gt;0,ISNUMBER(M147)),M147-Setup!$C$11,99999)</f>
        <v>99999</v>
      </c>
    </row>
    <row r="148" customFormat="false" ht="15" hidden="false" customHeight="false" outlineLevel="0" collapsed="false">
      <c r="A148" s="40" t="str">
        <f aca="false">IF(D148="","",ROW()-7)</f>
        <v/>
      </c>
      <c r="B148" s="79"/>
      <c r="C148" s="75"/>
      <c r="D148" s="76"/>
      <c r="E148" s="80"/>
      <c r="F148" s="79"/>
      <c r="G148" s="76"/>
      <c r="H148" s="54" t="str">
        <f aca="false">IF(OR(D148="",B148=""),"",IF(F148&lt;&gt;"",F148,B148+IFERROR(INDEX(Suppliers!$Q$7:$Q$106,MATCH(D148,Suppliers!$B$7:$B$106,0)),Setup!$C$7)))</f>
        <v/>
      </c>
      <c r="I148" s="46" t="str">
        <f aca="false">IF(OR(D148="",C148=""),IF(D148="","",0),SUMIFS(Payments!$D$8:$D$507,Payments!$C$8:$C$507,D148,Payments!$F$8:$F$507,C148))</f>
        <v/>
      </c>
      <c r="J148" s="46" t="str">
        <f aca="false">IF(D148="","",MIN(P148,MAX(0,R148-Q148)))</f>
        <v/>
      </c>
      <c r="K148" s="47" t="str">
        <f aca="false">IF(D148="","",P148-J148)</f>
        <v/>
      </c>
      <c r="L148" s="55" t="str">
        <f aca="false">IF(OR(D148="",N(K148)&lt;=0,H148=""),"",MAX(0,Setup!$C$11-H148))</f>
        <v/>
      </c>
      <c r="M148" s="54" t="str">
        <f aca="false">IF(OR(D148="",B148=""),"",IF(IFERROR(INDEX(Suppliers!$S$7:$S$106,MATCH(D148,Suppliers!$B$7:$B$106,0)),"")="","–",B148+IFERROR(INDEX(Suppliers!$S$7:$S$106,MATCH(D148,Suppliers!$B$7:$B$106,0)),"")))</f>
        <v/>
      </c>
      <c r="N148" s="56" t="str">
        <f aca="false">IF(D148="","",IF(N(K148)&lt;=0,"Paid",IF(AND(ISNUMBER(M148),Setup!$C$11&gt;M148),"⚠ MSME late",IF(N(L148)&gt;0,"Overdue",IF(N(V148)&lt;=Setup!$C$9,"⚠ MSME due soon",IF(K148&lt;E148,"Part paid","Not due"))))))</f>
        <v/>
      </c>
      <c r="O148" s="50" t="str">
        <f aca="false">IF(AND(D148="",B148="",C148="",E148=""),"",IF(D148="","⚠ Pick supplier",IF(ISNA(MATCH(D148,Suppliers!$B$7:$B$106,0)),"⚠ Supplier not in list",IF(B148="","⚠ Enter bill date",IF(N(E148)&lt;=0,"⚠ Enter amount",IF(AND(C148&lt;&gt;"",COUNTIFS($D$8:$D$507,D148,$C$8:$C$507,C148)&gt;1),"⚠ Bill no. used twice",IF(N(I148)&gt;N(E148),"⚠ Paid more than bill","✔")))))))</f>
        <v/>
      </c>
      <c r="P148" s="9" t="n">
        <f aca="false">IF(D148="",0,MAX(0,N(E148)-N(I148)))</f>
        <v>0</v>
      </c>
      <c r="Q148" s="9" t="n">
        <f aca="false">IF(D148="",0,SUMIFS($P$8:$P$507,$D$8:$D$507,D148,$B$8:$B$507,"&lt;"&amp;B148)+SUMIFS($P$8:P147,$D$8:D147,D148,$B$8:B147,B148))</f>
        <v>0</v>
      </c>
      <c r="R148" s="9" t="n">
        <f aca="false">IF(D148="",0,IFERROR(INDEX(Suppliers!$R$7:$R$106,MATCH(D148,Suppliers!$B$7:$B$106,0)),0))</f>
        <v>0</v>
      </c>
      <c r="S148" s="9" t="str">
        <f aca="false">IF(N(K148)&gt;0,IF(H148="",99999,MIN(H148,IF(ISNUMBER(M148),M148,H148)))+ROW()/100000,"")</f>
        <v/>
      </c>
      <c r="U148" s="9" t="n">
        <f aca="false">IF(N(K148)&gt;0,N(L148),0)</f>
        <v>0</v>
      </c>
      <c r="V148" s="9" t="n">
        <f aca="false">IF(AND(N(K148)&gt;0,ISNUMBER(M148)),M148-Setup!$C$11,99999)</f>
        <v>99999</v>
      </c>
    </row>
    <row r="149" customFormat="false" ht="15" hidden="false" customHeight="false" outlineLevel="0" collapsed="false">
      <c r="A149" s="40" t="str">
        <f aca="false">IF(D149="","",ROW()-7)</f>
        <v/>
      </c>
      <c r="B149" s="79"/>
      <c r="C149" s="75"/>
      <c r="D149" s="76"/>
      <c r="E149" s="80"/>
      <c r="F149" s="79"/>
      <c r="G149" s="76"/>
      <c r="H149" s="54" t="str">
        <f aca="false">IF(OR(D149="",B149=""),"",IF(F149&lt;&gt;"",F149,B149+IFERROR(INDEX(Suppliers!$Q$7:$Q$106,MATCH(D149,Suppliers!$B$7:$B$106,0)),Setup!$C$7)))</f>
        <v/>
      </c>
      <c r="I149" s="46" t="str">
        <f aca="false">IF(OR(D149="",C149=""),IF(D149="","",0),SUMIFS(Payments!$D$8:$D$507,Payments!$C$8:$C$507,D149,Payments!$F$8:$F$507,C149))</f>
        <v/>
      </c>
      <c r="J149" s="46" t="str">
        <f aca="false">IF(D149="","",MIN(P149,MAX(0,R149-Q149)))</f>
        <v/>
      </c>
      <c r="K149" s="47" t="str">
        <f aca="false">IF(D149="","",P149-J149)</f>
        <v/>
      </c>
      <c r="L149" s="55" t="str">
        <f aca="false">IF(OR(D149="",N(K149)&lt;=0,H149=""),"",MAX(0,Setup!$C$11-H149))</f>
        <v/>
      </c>
      <c r="M149" s="54" t="str">
        <f aca="false">IF(OR(D149="",B149=""),"",IF(IFERROR(INDEX(Suppliers!$S$7:$S$106,MATCH(D149,Suppliers!$B$7:$B$106,0)),"")="","–",B149+IFERROR(INDEX(Suppliers!$S$7:$S$106,MATCH(D149,Suppliers!$B$7:$B$106,0)),"")))</f>
        <v/>
      </c>
      <c r="N149" s="56" t="str">
        <f aca="false">IF(D149="","",IF(N(K149)&lt;=0,"Paid",IF(AND(ISNUMBER(M149),Setup!$C$11&gt;M149),"⚠ MSME late",IF(N(L149)&gt;0,"Overdue",IF(N(V149)&lt;=Setup!$C$9,"⚠ MSME due soon",IF(K149&lt;E149,"Part paid","Not due"))))))</f>
        <v/>
      </c>
      <c r="O149" s="50" t="str">
        <f aca="false">IF(AND(D149="",B149="",C149="",E149=""),"",IF(D149="","⚠ Pick supplier",IF(ISNA(MATCH(D149,Suppliers!$B$7:$B$106,0)),"⚠ Supplier not in list",IF(B149="","⚠ Enter bill date",IF(N(E149)&lt;=0,"⚠ Enter amount",IF(AND(C149&lt;&gt;"",COUNTIFS($D$8:$D$507,D149,$C$8:$C$507,C149)&gt;1),"⚠ Bill no. used twice",IF(N(I149)&gt;N(E149),"⚠ Paid more than bill","✔")))))))</f>
        <v/>
      </c>
      <c r="P149" s="9" t="n">
        <f aca="false">IF(D149="",0,MAX(0,N(E149)-N(I149)))</f>
        <v>0</v>
      </c>
      <c r="Q149" s="9" t="n">
        <f aca="false">IF(D149="",0,SUMIFS($P$8:$P$507,$D$8:$D$507,D149,$B$8:$B$507,"&lt;"&amp;B149)+SUMIFS($P$8:P148,$D$8:D148,D149,$B$8:B148,B149))</f>
        <v>0</v>
      </c>
      <c r="R149" s="9" t="n">
        <f aca="false">IF(D149="",0,IFERROR(INDEX(Suppliers!$R$7:$R$106,MATCH(D149,Suppliers!$B$7:$B$106,0)),0))</f>
        <v>0</v>
      </c>
      <c r="S149" s="9" t="str">
        <f aca="false">IF(N(K149)&gt;0,IF(H149="",99999,MIN(H149,IF(ISNUMBER(M149),M149,H149)))+ROW()/100000,"")</f>
        <v/>
      </c>
      <c r="U149" s="9" t="n">
        <f aca="false">IF(N(K149)&gt;0,N(L149),0)</f>
        <v>0</v>
      </c>
      <c r="V149" s="9" t="n">
        <f aca="false">IF(AND(N(K149)&gt;0,ISNUMBER(M149)),M149-Setup!$C$11,99999)</f>
        <v>99999</v>
      </c>
    </row>
    <row r="150" customFormat="false" ht="15" hidden="false" customHeight="false" outlineLevel="0" collapsed="false">
      <c r="A150" s="40" t="str">
        <f aca="false">IF(D150="","",ROW()-7)</f>
        <v/>
      </c>
      <c r="B150" s="79"/>
      <c r="C150" s="75"/>
      <c r="D150" s="76"/>
      <c r="E150" s="80"/>
      <c r="F150" s="79"/>
      <c r="G150" s="76"/>
      <c r="H150" s="54" t="str">
        <f aca="false">IF(OR(D150="",B150=""),"",IF(F150&lt;&gt;"",F150,B150+IFERROR(INDEX(Suppliers!$Q$7:$Q$106,MATCH(D150,Suppliers!$B$7:$B$106,0)),Setup!$C$7)))</f>
        <v/>
      </c>
      <c r="I150" s="46" t="str">
        <f aca="false">IF(OR(D150="",C150=""),IF(D150="","",0),SUMIFS(Payments!$D$8:$D$507,Payments!$C$8:$C$507,D150,Payments!$F$8:$F$507,C150))</f>
        <v/>
      </c>
      <c r="J150" s="46" t="str">
        <f aca="false">IF(D150="","",MIN(P150,MAX(0,R150-Q150)))</f>
        <v/>
      </c>
      <c r="K150" s="47" t="str">
        <f aca="false">IF(D150="","",P150-J150)</f>
        <v/>
      </c>
      <c r="L150" s="55" t="str">
        <f aca="false">IF(OR(D150="",N(K150)&lt;=0,H150=""),"",MAX(0,Setup!$C$11-H150))</f>
        <v/>
      </c>
      <c r="M150" s="54" t="str">
        <f aca="false">IF(OR(D150="",B150=""),"",IF(IFERROR(INDEX(Suppliers!$S$7:$S$106,MATCH(D150,Suppliers!$B$7:$B$106,0)),"")="","–",B150+IFERROR(INDEX(Suppliers!$S$7:$S$106,MATCH(D150,Suppliers!$B$7:$B$106,0)),"")))</f>
        <v/>
      </c>
      <c r="N150" s="56" t="str">
        <f aca="false">IF(D150="","",IF(N(K150)&lt;=0,"Paid",IF(AND(ISNUMBER(M150),Setup!$C$11&gt;M150),"⚠ MSME late",IF(N(L150)&gt;0,"Overdue",IF(N(V150)&lt;=Setup!$C$9,"⚠ MSME due soon",IF(K150&lt;E150,"Part paid","Not due"))))))</f>
        <v/>
      </c>
      <c r="O150" s="50" t="str">
        <f aca="false">IF(AND(D150="",B150="",C150="",E150=""),"",IF(D150="","⚠ Pick supplier",IF(ISNA(MATCH(D150,Suppliers!$B$7:$B$106,0)),"⚠ Supplier not in list",IF(B150="","⚠ Enter bill date",IF(N(E150)&lt;=0,"⚠ Enter amount",IF(AND(C150&lt;&gt;"",COUNTIFS($D$8:$D$507,D150,$C$8:$C$507,C150)&gt;1),"⚠ Bill no. used twice",IF(N(I150)&gt;N(E150),"⚠ Paid more than bill","✔")))))))</f>
        <v/>
      </c>
      <c r="P150" s="9" t="n">
        <f aca="false">IF(D150="",0,MAX(0,N(E150)-N(I150)))</f>
        <v>0</v>
      </c>
      <c r="Q150" s="9" t="n">
        <f aca="false">IF(D150="",0,SUMIFS($P$8:$P$507,$D$8:$D$507,D150,$B$8:$B$507,"&lt;"&amp;B150)+SUMIFS($P$8:P149,$D$8:D149,D150,$B$8:B149,B150))</f>
        <v>0</v>
      </c>
      <c r="R150" s="9" t="n">
        <f aca="false">IF(D150="",0,IFERROR(INDEX(Suppliers!$R$7:$R$106,MATCH(D150,Suppliers!$B$7:$B$106,0)),0))</f>
        <v>0</v>
      </c>
      <c r="S150" s="9" t="str">
        <f aca="false">IF(N(K150)&gt;0,IF(H150="",99999,MIN(H150,IF(ISNUMBER(M150),M150,H150)))+ROW()/100000,"")</f>
        <v/>
      </c>
      <c r="U150" s="9" t="n">
        <f aca="false">IF(N(K150)&gt;0,N(L150),0)</f>
        <v>0</v>
      </c>
      <c r="V150" s="9" t="n">
        <f aca="false">IF(AND(N(K150)&gt;0,ISNUMBER(M150)),M150-Setup!$C$11,99999)</f>
        <v>99999</v>
      </c>
    </row>
    <row r="151" customFormat="false" ht="15" hidden="false" customHeight="false" outlineLevel="0" collapsed="false">
      <c r="A151" s="40" t="str">
        <f aca="false">IF(D151="","",ROW()-7)</f>
        <v/>
      </c>
      <c r="B151" s="79"/>
      <c r="C151" s="75"/>
      <c r="D151" s="76"/>
      <c r="E151" s="80"/>
      <c r="F151" s="79"/>
      <c r="G151" s="76"/>
      <c r="H151" s="54" t="str">
        <f aca="false">IF(OR(D151="",B151=""),"",IF(F151&lt;&gt;"",F151,B151+IFERROR(INDEX(Suppliers!$Q$7:$Q$106,MATCH(D151,Suppliers!$B$7:$B$106,0)),Setup!$C$7)))</f>
        <v/>
      </c>
      <c r="I151" s="46" t="str">
        <f aca="false">IF(OR(D151="",C151=""),IF(D151="","",0),SUMIFS(Payments!$D$8:$D$507,Payments!$C$8:$C$507,D151,Payments!$F$8:$F$507,C151))</f>
        <v/>
      </c>
      <c r="J151" s="46" t="str">
        <f aca="false">IF(D151="","",MIN(P151,MAX(0,R151-Q151)))</f>
        <v/>
      </c>
      <c r="K151" s="47" t="str">
        <f aca="false">IF(D151="","",P151-J151)</f>
        <v/>
      </c>
      <c r="L151" s="55" t="str">
        <f aca="false">IF(OR(D151="",N(K151)&lt;=0,H151=""),"",MAX(0,Setup!$C$11-H151))</f>
        <v/>
      </c>
      <c r="M151" s="54" t="str">
        <f aca="false">IF(OR(D151="",B151=""),"",IF(IFERROR(INDEX(Suppliers!$S$7:$S$106,MATCH(D151,Suppliers!$B$7:$B$106,0)),"")="","–",B151+IFERROR(INDEX(Suppliers!$S$7:$S$106,MATCH(D151,Suppliers!$B$7:$B$106,0)),"")))</f>
        <v/>
      </c>
      <c r="N151" s="56" t="str">
        <f aca="false">IF(D151="","",IF(N(K151)&lt;=0,"Paid",IF(AND(ISNUMBER(M151),Setup!$C$11&gt;M151),"⚠ MSME late",IF(N(L151)&gt;0,"Overdue",IF(N(V151)&lt;=Setup!$C$9,"⚠ MSME due soon",IF(K151&lt;E151,"Part paid","Not due"))))))</f>
        <v/>
      </c>
      <c r="O151" s="50" t="str">
        <f aca="false">IF(AND(D151="",B151="",C151="",E151=""),"",IF(D151="","⚠ Pick supplier",IF(ISNA(MATCH(D151,Suppliers!$B$7:$B$106,0)),"⚠ Supplier not in list",IF(B151="","⚠ Enter bill date",IF(N(E151)&lt;=0,"⚠ Enter amount",IF(AND(C151&lt;&gt;"",COUNTIFS($D$8:$D$507,D151,$C$8:$C$507,C151)&gt;1),"⚠ Bill no. used twice",IF(N(I151)&gt;N(E151),"⚠ Paid more than bill","✔")))))))</f>
        <v/>
      </c>
      <c r="P151" s="9" t="n">
        <f aca="false">IF(D151="",0,MAX(0,N(E151)-N(I151)))</f>
        <v>0</v>
      </c>
      <c r="Q151" s="9" t="n">
        <f aca="false">IF(D151="",0,SUMIFS($P$8:$P$507,$D$8:$D$507,D151,$B$8:$B$507,"&lt;"&amp;B151)+SUMIFS($P$8:P150,$D$8:D150,D151,$B$8:B150,B151))</f>
        <v>0</v>
      </c>
      <c r="R151" s="9" t="n">
        <f aca="false">IF(D151="",0,IFERROR(INDEX(Suppliers!$R$7:$R$106,MATCH(D151,Suppliers!$B$7:$B$106,0)),0))</f>
        <v>0</v>
      </c>
      <c r="S151" s="9" t="str">
        <f aca="false">IF(N(K151)&gt;0,IF(H151="",99999,MIN(H151,IF(ISNUMBER(M151),M151,H151)))+ROW()/100000,"")</f>
        <v/>
      </c>
      <c r="U151" s="9" t="n">
        <f aca="false">IF(N(K151)&gt;0,N(L151),0)</f>
        <v>0</v>
      </c>
      <c r="V151" s="9" t="n">
        <f aca="false">IF(AND(N(K151)&gt;0,ISNUMBER(M151)),M151-Setup!$C$11,99999)</f>
        <v>99999</v>
      </c>
    </row>
    <row r="152" customFormat="false" ht="15" hidden="false" customHeight="false" outlineLevel="0" collapsed="false">
      <c r="A152" s="40" t="str">
        <f aca="false">IF(D152="","",ROW()-7)</f>
        <v/>
      </c>
      <c r="B152" s="79"/>
      <c r="C152" s="75"/>
      <c r="D152" s="76"/>
      <c r="E152" s="80"/>
      <c r="F152" s="79"/>
      <c r="G152" s="76"/>
      <c r="H152" s="54" t="str">
        <f aca="false">IF(OR(D152="",B152=""),"",IF(F152&lt;&gt;"",F152,B152+IFERROR(INDEX(Suppliers!$Q$7:$Q$106,MATCH(D152,Suppliers!$B$7:$B$106,0)),Setup!$C$7)))</f>
        <v/>
      </c>
      <c r="I152" s="46" t="str">
        <f aca="false">IF(OR(D152="",C152=""),IF(D152="","",0),SUMIFS(Payments!$D$8:$D$507,Payments!$C$8:$C$507,D152,Payments!$F$8:$F$507,C152))</f>
        <v/>
      </c>
      <c r="J152" s="46" t="str">
        <f aca="false">IF(D152="","",MIN(P152,MAX(0,R152-Q152)))</f>
        <v/>
      </c>
      <c r="K152" s="47" t="str">
        <f aca="false">IF(D152="","",P152-J152)</f>
        <v/>
      </c>
      <c r="L152" s="55" t="str">
        <f aca="false">IF(OR(D152="",N(K152)&lt;=0,H152=""),"",MAX(0,Setup!$C$11-H152))</f>
        <v/>
      </c>
      <c r="M152" s="54" t="str">
        <f aca="false">IF(OR(D152="",B152=""),"",IF(IFERROR(INDEX(Suppliers!$S$7:$S$106,MATCH(D152,Suppliers!$B$7:$B$106,0)),"")="","–",B152+IFERROR(INDEX(Suppliers!$S$7:$S$106,MATCH(D152,Suppliers!$B$7:$B$106,0)),"")))</f>
        <v/>
      </c>
      <c r="N152" s="56" t="str">
        <f aca="false">IF(D152="","",IF(N(K152)&lt;=0,"Paid",IF(AND(ISNUMBER(M152),Setup!$C$11&gt;M152),"⚠ MSME late",IF(N(L152)&gt;0,"Overdue",IF(N(V152)&lt;=Setup!$C$9,"⚠ MSME due soon",IF(K152&lt;E152,"Part paid","Not due"))))))</f>
        <v/>
      </c>
      <c r="O152" s="50" t="str">
        <f aca="false">IF(AND(D152="",B152="",C152="",E152=""),"",IF(D152="","⚠ Pick supplier",IF(ISNA(MATCH(D152,Suppliers!$B$7:$B$106,0)),"⚠ Supplier not in list",IF(B152="","⚠ Enter bill date",IF(N(E152)&lt;=0,"⚠ Enter amount",IF(AND(C152&lt;&gt;"",COUNTIFS($D$8:$D$507,D152,$C$8:$C$507,C152)&gt;1),"⚠ Bill no. used twice",IF(N(I152)&gt;N(E152),"⚠ Paid more than bill","✔")))))))</f>
        <v/>
      </c>
      <c r="P152" s="9" t="n">
        <f aca="false">IF(D152="",0,MAX(0,N(E152)-N(I152)))</f>
        <v>0</v>
      </c>
      <c r="Q152" s="9" t="n">
        <f aca="false">IF(D152="",0,SUMIFS($P$8:$P$507,$D$8:$D$507,D152,$B$8:$B$507,"&lt;"&amp;B152)+SUMIFS($P$8:P151,$D$8:D151,D152,$B$8:B151,B152))</f>
        <v>0</v>
      </c>
      <c r="R152" s="9" t="n">
        <f aca="false">IF(D152="",0,IFERROR(INDEX(Suppliers!$R$7:$R$106,MATCH(D152,Suppliers!$B$7:$B$106,0)),0))</f>
        <v>0</v>
      </c>
      <c r="S152" s="9" t="str">
        <f aca="false">IF(N(K152)&gt;0,IF(H152="",99999,MIN(H152,IF(ISNUMBER(M152),M152,H152)))+ROW()/100000,"")</f>
        <v/>
      </c>
      <c r="U152" s="9" t="n">
        <f aca="false">IF(N(K152)&gt;0,N(L152),0)</f>
        <v>0</v>
      </c>
      <c r="V152" s="9" t="n">
        <f aca="false">IF(AND(N(K152)&gt;0,ISNUMBER(M152)),M152-Setup!$C$11,99999)</f>
        <v>99999</v>
      </c>
    </row>
    <row r="153" customFormat="false" ht="15" hidden="false" customHeight="false" outlineLevel="0" collapsed="false">
      <c r="A153" s="40" t="str">
        <f aca="false">IF(D153="","",ROW()-7)</f>
        <v/>
      </c>
      <c r="B153" s="79"/>
      <c r="C153" s="75"/>
      <c r="D153" s="76"/>
      <c r="E153" s="80"/>
      <c r="F153" s="79"/>
      <c r="G153" s="76"/>
      <c r="H153" s="54" t="str">
        <f aca="false">IF(OR(D153="",B153=""),"",IF(F153&lt;&gt;"",F153,B153+IFERROR(INDEX(Suppliers!$Q$7:$Q$106,MATCH(D153,Suppliers!$B$7:$B$106,0)),Setup!$C$7)))</f>
        <v/>
      </c>
      <c r="I153" s="46" t="str">
        <f aca="false">IF(OR(D153="",C153=""),IF(D153="","",0),SUMIFS(Payments!$D$8:$D$507,Payments!$C$8:$C$507,D153,Payments!$F$8:$F$507,C153))</f>
        <v/>
      </c>
      <c r="J153" s="46" t="str">
        <f aca="false">IF(D153="","",MIN(P153,MAX(0,R153-Q153)))</f>
        <v/>
      </c>
      <c r="K153" s="47" t="str">
        <f aca="false">IF(D153="","",P153-J153)</f>
        <v/>
      </c>
      <c r="L153" s="55" t="str">
        <f aca="false">IF(OR(D153="",N(K153)&lt;=0,H153=""),"",MAX(0,Setup!$C$11-H153))</f>
        <v/>
      </c>
      <c r="M153" s="54" t="str">
        <f aca="false">IF(OR(D153="",B153=""),"",IF(IFERROR(INDEX(Suppliers!$S$7:$S$106,MATCH(D153,Suppliers!$B$7:$B$106,0)),"")="","–",B153+IFERROR(INDEX(Suppliers!$S$7:$S$106,MATCH(D153,Suppliers!$B$7:$B$106,0)),"")))</f>
        <v/>
      </c>
      <c r="N153" s="56" t="str">
        <f aca="false">IF(D153="","",IF(N(K153)&lt;=0,"Paid",IF(AND(ISNUMBER(M153),Setup!$C$11&gt;M153),"⚠ MSME late",IF(N(L153)&gt;0,"Overdue",IF(N(V153)&lt;=Setup!$C$9,"⚠ MSME due soon",IF(K153&lt;E153,"Part paid","Not due"))))))</f>
        <v/>
      </c>
      <c r="O153" s="50" t="str">
        <f aca="false">IF(AND(D153="",B153="",C153="",E153=""),"",IF(D153="","⚠ Pick supplier",IF(ISNA(MATCH(D153,Suppliers!$B$7:$B$106,0)),"⚠ Supplier not in list",IF(B153="","⚠ Enter bill date",IF(N(E153)&lt;=0,"⚠ Enter amount",IF(AND(C153&lt;&gt;"",COUNTIFS($D$8:$D$507,D153,$C$8:$C$507,C153)&gt;1),"⚠ Bill no. used twice",IF(N(I153)&gt;N(E153),"⚠ Paid more than bill","✔")))))))</f>
        <v/>
      </c>
      <c r="P153" s="9" t="n">
        <f aca="false">IF(D153="",0,MAX(0,N(E153)-N(I153)))</f>
        <v>0</v>
      </c>
      <c r="Q153" s="9" t="n">
        <f aca="false">IF(D153="",0,SUMIFS($P$8:$P$507,$D$8:$D$507,D153,$B$8:$B$507,"&lt;"&amp;B153)+SUMIFS($P$8:P152,$D$8:D152,D153,$B$8:B152,B153))</f>
        <v>0</v>
      </c>
      <c r="R153" s="9" t="n">
        <f aca="false">IF(D153="",0,IFERROR(INDEX(Suppliers!$R$7:$R$106,MATCH(D153,Suppliers!$B$7:$B$106,0)),0))</f>
        <v>0</v>
      </c>
      <c r="S153" s="9" t="str">
        <f aca="false">IF(N(K153)&gt;0,IF(H153="",99999,MIN(H153,IF(ISNUMBER(M153),M153,H153)))+ROW()/100000,"")</f>
        <v/>
      </c>
      <c r="U153" s="9" t="n">
        <f aca="false">IF(N(K153)&gt;0,N(L153),0)</f>
        <v>0</v>
      </c>
      <c r="V153" s="9" t="n">
        <f aca="false">IF(AND(N(K153)&gt;0,ISNUMBER(M153)),M153-Setup!$C$11,99999)</f>
        <v>99999</v>
      </c>
    </row>
    <row r="154" customFormat="false" ht="15" hidden="false" customHeight="false" outlineLevel="0" collapsed="false">
      <c r="A154" s="40" t="str">
        <f aca="false">IF(D154="","",ROW()-7)</f>
        <v/>
      </c>
      <c r="B154" s="79"/>
      <c r="C154" s="75"/>
      <c r="D154" s="76"/>
      <c r="E154" s="80"/>
      <c r="F154" s="79"/>
      <c r="G154" s="76"/>
      <c r="H154" s="54" t="str">
        <f aca="false">IF(OR(D154="",B154=""),"",IF(F154&lt;&gt;"",F154,B154+IFERROR(INDEX(Suppliers!$Q$7:$Q$106,MATCH(D154,Suppliers!$B$7:$B$106,0)),Setup!$C$7)))</f>
        <v/>
      </c>
      <c r="I154" s="46" t="str">
        <f aca="false">IF(OR(D154="",C154=""),IF(D154="","",0),SUMIFS(Payments!$D$8:$D$507,Payments!$C$8:$C$507,D154,Payments!$F$8:$F$507,C154))</f>
        <v/>
      </c>
      <c r="J154" s="46" t="str">
        <f aca="false">IF(D154="","",MIN(P154,MAX(0,R154-Q154)))</f>
        <v/>
      </c>
      <c r="K154" s="47" t="str">
        <f aca="false">IF(D154="","",P154-J154)</f>
        <v/>
      </c>
      <c r="L154" s="55" t="str">
        <f aca="false">IF(OR(D154="",N(K154)&lt;=0,H154=""),"",MAX(0,Setup!$C$11-H154))</f>
        <v/>
      </c>
      <c r="M154" s="54" t="str">
        <f aca="false">IF(OR(D154="",B154=""),"",IF(IFERROR(INDEX(Suppliers!$S$7:$S$106,MATCH(D154,Suppliers!$B$7:$B$106,0)),"")="","–",B154+IFERROR(INDEX(Suppliers!$S$7:$S$106,MATCH(D154,Suppliers!$B$7:$B$106,0)),"")))</f>
        <v/>
      </c>
      <c r="N154" s="56" t="str">
        <f aca="false">IF(D154="","",IF(N(K154)&lt;=0,"Paid",IF(AND(ISNUMBER(M154),Setup!$C$11&gt;M154),"⚠ MSME late",IF(N(L154)&gt;0,"Overdue",IF(N(V154)&lt;=Setup!$C$9,"⚠ MSME due soon",IF(K154&lt;E154,"Part paid","Not due"))))))</f>
        <v/>
      </c>
      <c r="O154" s="50" t="str">
        <f aca="false">IF(AND(D154="",B154="",C154="",E154=""),"",IF(D154="","⚠ Pick supplier",IF(ISNA(MATCH(D154,Suppliers!$B$7:$B$106,0)),"⚠ Supplier not in list",IF(B154="","⚠ Enter bill date",IF(N(E154)&lt;=0,"⚠ Enter amount",IF(AND(C154&lt;&gt;"",COUNTIFS($D$8:$D$507,D154,$C$8:$C$507,C154)&gt;1),"⚠ Bill no. used twice",IF(N(I154)&gt;N(E154),"⚠ Paid more than bill","✔")))))))</f>
        <v/>
      </c>
      <c r="P154" s="9" t="n">
        <f aca="false">IF(D154="",0,MAX(0,N(E154)-N(I154)))</f>
        <v>0</v>
      </c>
      <c r="Q154" s="9" t="n">
        <f aca="false">IF(D154="",0,SUMIFS($P$8:$P$507,$D$8:$D$507,D154,$B$8:$B$507,"&lt;"&amp;B154)+SUMIFS($P$8:P153,$D$8:D153,D154,$B$8:B153,B154))</f>
        <v>0</v>
      </c>
      <c r="R154" s="9" t="n">
        <f aca="false">IF(D154="",0,IFERROR(INDEX(Suppliers!$R$7:$R$106,MATCH(D154,Suppliers!$B$7:$B$106,0)),0))</f>
        <v>0</v>
      </c>
      <c r="S154" s="9" t="str">
        <f aca="false">IF(N(K154)&gt;0,IF(H154="",99999,MIN(H154,IF(ISNUMBER(M154),M154,H154)))+ROW()/100000,"")</f>
        <v/>
      </c>
      <c r="U154" s="9" t="n">
        <f aca="false">IF(N(K154)&gt;0,N(L154),0)</f>
        <v>0</v>
      </c>
      <c r="V154" s="9" t="n">
        <f aca="false">IF(AND(N(K154)&gt;0,ISNUMBER(M154)),M154-Setup!$C$11,99999)</f>
        <v>99999</v>
      </c>
    </row>
    <row r="155" customFormat="false" ht="15" hidden="false" customHeight="false" outlineLevel="0" collapsed="false">
      <c r="A155" s="40" t="str">
        <f aca="false">IF(D155="","",ROW()-7)</f>
        <v/>
      </c>
      <c r="B155" s="79"/>
      <c r="C155" s="75"/>
      <c r="D155" s="76"/>
      <c r="E155" s="80"/>
      <c r="F155" s="79"/>
      <c r="G155" s="76"/>
      <c r="H155" s="54" t="str">
        <f aca="false">IF(OR(D155="",B155=""),"",IF(F155&lt;&gt;"",F155,B155+IFERROR(INDEX(Suppliers!$Q$7:$Q$106,MATCH(D155,Suppliers!$B$7:$B$106,0)),Setup!$C$7)))</f>
        <v/>
      </c>
      <c r="I155" s="46" t="str">
        <f aca="false">IF(OR(D155="",C155=""),IF(D155="","",0),SUMIFS(Payments!$D$8:$D$507,Payments!$C$8:$C$507,D155,Payments!$F$8:$F$507,C155))</f>
        <v/>
      </c>
      <c r="J155" s="46" t="str">
        <f aca="false">IF(D155="","",MIN(P155,MAX(0,R155-Q155)))</f>
        <v/>
      </c>
      <c r="K155" s="47" t="str">
        <f aca="false">IF(D155="","",P155-J155)</f>
        <v/>
      </c>
      <c r="L155" s="55" t="str">
        <f aca="false">IF(OR(D155="",N(K155)&lt;=0,H155=""),"",MAX(0,Setup!$C$11-H155))</f>
        <v/>
      </c>
      <c r="M155" s="54" t="str">
        <f aca="false">IF(OR(D155="",B155=""),"",IF(IFERROR(INDEX(Suppliers!$S$7:$S$106,MATCH(D155,Suppliers!$B$7:$B$106,0)),"")="","–",B155+IFERROR(INDEX(Suppliers!$S$7:$S$106,MATCH(D155,Suppliers!$B$7:$B$106,0)),"")))</f>
        <v/>
      </c>
      <c r="N155" s="56" t="str">
        <f aca="false">IF(D155="","",IF(N(K155)&lt;=0,"Paid",IF(AND(ISNUMBER(M155),Setup!$C$11&gt;M155),"⚠ MSME late",IF(N(L155)&gt;0,"Overdue",IF(N(V155)&lt;=Setup!$C$9,"⚠ MSME due soon",IF(K155&lt;E155,"Part paid","Not due"))))))</f>
        <v/>
      </c>
      <c r="O155" s="50" t="str">
        <f aca="false">IF(AND(D155="",B155="",C155="",E155=""),"",IF(D155="","⚠ Pick supplier",IF(ISNA(MATCH(D155,Suppliers!$B$7:$B$106,0)),"⚠ Supplier not in list",IF(B155="","⚠ Enter bill date",IF(N(E155)&lt;=0,"⚠ Enter amount",IF(AND(C155&lt;&gt;"",COUNTIFS($D$8:$D$507,D155,$C$8:$C$507,C155)&gt;1),"⚠ Bill no. used twice",IF(N(I155)&gt;N(E155),"⚠ Paid more than bill","✔")))))))</f>
        <v/>
      </c>
      <c r="P155" s="9" t="n">
        <f aca="false">IF(D155="",0,MAX(0,N(E155)-N(I155)))</f>
        <v>0</v>
      </c>
      <c r="Q155" s="9" t="n">
        <f aca="false">IF(D155="",0,SUMIFS($P$8:$P$507,$D$8:$D$507,D155,$B$8:$B$507,"&lt;"&amp;B155)+SUMIFS($P$8:P154,$D$8:D154,D155,$B$8:B154,B155))</f>
        <v>0</v>
      </c>
      <c r="R155" s="9" t="n">
        <f aca="false">IF(D155="",0,IFERROR(INDEX(Suppliers!$R$7:$R$106,MATCH(D155,Suppliers!$B$7:$B$106,0)),0))</f>
        <v>0</v>
      </c>
      <c r="S155" s="9" t="str">
        <f aca="false">IF(N(K155)&gt;0,IF(H155="",99999,MIN(H155,IF(ISNUMBER(M155),M155,H155)))+ROW()/100000,"")</f>
        <v/>
      </c>
      <c r="U155" s="9" t="n">
        <f aca="false">IF(N(K155)&gt;0,N(L155),0)</f>
        <v>0</v>
      </c>
      <c r="V155" s="9" t="n">
        <f aca="false">IF(AND(N(K155)&gt;0,ISNUMBER(M155)),M155-Setup!$C$11,99999)</f>
        <v>99999</v>
      </c>
    </row>
    <row r="156" customFormat="false" ht="15" hidden="false" customHeight="false" outlineLevel="0" collapsed="false">
      <c r="A156" s="40" t="str">
        <f aca="false">IF(D156="","",ROW()-7)</f>
        <v/>
      </c>
      <c r="B156" s="79"/>
      <c r="C156" s="75"/>
      <c r="D156" s="76"/>
      <c r="E156" s="80"/>
      <c r="F156" s="79"/>
      <c r="G156" s="76"/>
      <c r="H156" s="54" t="str">
        <f aca="false">IF(OR(D156="",B156=""),"",IF(F156&lt;&gt;"",F156,B156+IFERROR(INDEX(Suppliers!$Q$7:$Q$106,MATCH(D156,Suppliers!$B$7:$B$106,0)),Setup!$C$7)))</f>
        <v/>
      </c>
      <c r="I156" s="46" t="str">
        <f aca="false">IF(OR(D156="",C156=""),IF(D156="","",0),SUMIFS(Payments!$D$8:$D$507,Payments!$C$8:$C$507,D156,Payments!$F$8:$F$507,C156))</f>
        <v/>
      </c>
      <c r="J156" s="46" t="str">
        <f aca="false">IF(D156="","",MIN(P156,MAX(0,R156-Q156)))</f>
        <v/>
      </c>
      <c r="K156" s="47" t="str">
        <f aca="false">IF(D156="","",P156-J156)</f>
        <v/>
      </c>
      <c r="L156" s="55" t="str">
        <f aca="false">IF(OR(D156="",N(K156)&lt;=0,H156=""),"",MAX(0,Setup!$C$11-H156))</f>
        <v/>
      </c>
      <c r="M156" s="54" t="str">
        <f aca="false">IF(OR(D156="",B156=""),"",IF(IFERROR(INDEX(Suppliers!$S$7:$S$106,MATCH(D156,Suppliers!$B$7:$B$106,0)),"")="","–",B156+IFERROR(INDEX(Suppliers!$S$7:$S$106,MATCH(D156,Suppliers!$B$7:$B$106,0)),"")))</f>
        <v/>
      </c>
      <c r="N156" s="56" t="str">
        <f aca="false">IF(D156="","",IF(N(K156)&lt;=0,"Paid",IF(AND(ISNUMBER(M156),Setup!$C$11&gt;M156),"⚠ MSME late",IF(N(L156)&gt;0,"Overdue",IF(N(V156)&lt;=Setup!$C$9,"⚠ MSME due soon",IF(K156&lt;E156,"Part paid","Not due"))))))</f>
        <v/>
      </c>
      <c r="O156" s="50" t="str">
        <f aca="false">IF(AND(D156="",B156="",C156="",E156=""),"",IF(D156="","⚠ Pick supplier",IF(ISNA(MATCH(D156,Suppliers!$B$7:$B$106,0)),"⚠ Supplier not in list",IF(B156="","⚠ Enter bill date",IF(N(E156)&lt;=0,"⚠ Enter amount",IF(AND(C156&lt;&gt;"",COUNTIFS($D$8:$D$507,D156,$C$8:$C$507,C156)&gt;1),"⚠ Bill no. used twice",IF(N(I156)&gt;N(E156),"⚠ Paid more than bill","✔")))))))</f>
        <v/>
      </c>
      <c r="P156" s="9" t="n">
        <f aca="false">IF(D156="",0,MAX(0,N(E156)-N(I156)))</f>
        <v>0</v>
      </c>
      <c r="Q156" s="9" t="n">
        <f aca="false">IF(D156="",0,SUMIFS($P$8:$P$507,$D$8:$D$507,D156,$B$8:$B$507,"&lt;"&amp;B156)+SUMIFS($P$8:P155,$D$8:D155,D156,$B$8:B155,B156))</f>
        <v>0</v>
      </c>
      <c r="R156" s="9" t="n">
        <f aca="false">IF(D156="",0,IFERROR(INDEX(Suppliers!$R$7:$R$106,MATCH(D156,Suppliers!$B$7:$B$106,0)),0))</f>
        <v>0</v>
      </c>
      <c r="S156" s="9" t="str">
        <f aca="false">IF(N(K156)&gt;0,IF(H156="",99999,MIN(H156,IF(ISNUMBER(M156),M156,H156)))+ROW()/100000,"")</f>
        <v/>
      </c>
      <c r="U156" s="9" t="n">
        <f aca="false">IF(N(K156)&gt;0,N(L156),0)</f>
        <v>0</v>
      </c>
      <c r="V156" s="9" t="n">
        <f aca="false">IF(AND(N(K156)&gt;0,ISNUMBER(M156)),M156-Setup!$C$11,99999)</f>
        <v>99999</v>
      </c>
    </row>
    <row r="157" customFormat="false" ht="15" hidden="false" customHeight="false" outlineLevel="0" collapsed="false">
      <c r="A157" s="40" t="str">
        <f aca="false">IF(D157="","",ROW()-7)</f>
        <v/>
      </c>
      <c r="B157" s="79"/>
      <c r="C157" s="75"/>
      <c r="D157" s="76"/>
      <c r="E157" s="80"/>
      <c r="F157" s="79"/>
      <c r="G157" s="76"/>
      <c r="H157" s="54" t="str">
        <f aca="false">IF(OR(D157="",B157=""),"",IF(F157&lt;&gt;"",F157,B157+IFERROR(INDEX(Suppliers!$Q$7:$Q$106,MATCH(D157,Suppliers!$B$7:$B$106,0)),Setup!$C$7)))</f>
        <v/>
      </c>
      <c r="I157" s="46" t="str">
        <f aca="false">IF(OR(D157="",C157=""),IF(D157="","",0),SUMIFS(Payments!$D$8:$D$507,Payments!$C$8:$C$507,D157,Payments!$F$8:$F$507,C157))</f>
        <v/>
      </c>
      <c r="J157" s="46" t="str">
        <f aca="false">IF(D157="","",MIN(P157,MAX(0,R157-Q157)))</f>
        <v/>
      </c>
      <c r="K157" s="47" t="str">
        <f aca="false">IF(D157="","",P157-J157)</f>
        <v/>
      </c>
      <c r="L157" s="55" t="str">
        <f aca="false">IF(OR(D157="",N(K157)&lt;=0,H157=""),"",MAX(0,Setup!$C$11-H157))</f>
        <v/>
      </c>
      <c r="M157" s="54" t="str">
        <f aca="false">IF(OR(D157="",B157=""),"",IF(IFERROR(INDEX(Suppliers!$S$7:$S$106,MATCH(D157,Suppliers!$B$7:$B$106,0)),"")="","–",B157+IFERROR(INDEX(Suppliers!$S$7:$S$106,MATCH(D157,Suppliers!$B$7:$B$106,0)),"")))</f>
        <v/>
      </c>
      <c r="N157" s="56" t="str">
        <f aca="false">IF(D157="","",IF(N(K157)&lt;=0,"Paid",IF(AND(ISNUMBER(M157),Setup!$C$11&gt;M157),"⚠ MSME late",IF(N(L157)&gt;0,"Overdue",IF(N(V157)&lt;=Setup!$C$9,"⚠ MSME due soon",IF(K157&lt;E157,"Part paid","Not due"))))))</f>
        <v/>
      </c>
      <c r="O157" s="50" t="str">
        <f aca="false">IF(AND(D157="",B157="",C157="",E157=""),"",IF(D157="","⚠ Pick supplier",IF(ISNA(MATCH(D157,Suppliers!$B$7:$B$106,0)),"⚠ Supplier not in list",IF(B157="","⚠ Enter bill date",IF(N(E157)&lt;=0,"⚠ Enter amount",IF(AND(C157&lt;&gt;"",COUNTIFS($D$8:$D$507,D157,$C$8:$C$507,C157)&gt;1),"⚠ Bill no. used twice",IF(N(I157)&gt;N(E157),"⚠ Paid more than bill","✔")))))))</f>
        <v/>
      </c>
      <c r="P157" s="9" t="n">
        <f aca="false">IF(D157="",0,MAX(0,N(E157)-N(I157)))</f>
        <v>0</v>
      </c>
      <c r="Q157" s="9" t="n">
        <f aca="false">IF(D157="",0,SUMIFS($P$8:$P$507,$D$8:$D$507,D157,$B$8:$B$507,"&lt;"&amp;B157)+SUMIFS($P$8:P156,$D$8:D156,D157,$B$8:B156,B157))</f>
        <v>0</v>
      </c>
      <c r="R157" s="9" t="n">
        <f aca="false">IF(D157="",0,IFERROR(INDEX(Suppliers!$R$7:$R$106,MATCH(D157,Suppliers!$B$7:$B$106,0)),0))</f>
        <v>0</v>
      </c>
      <c r="S157" s="9" t="str">
        <f aca="false">IF(N(K157)&gt;0,IF(H157="",99999,MIN(H157,IF(ISNUMBER(M157),M157,H157)))+ROW()/100000,"")</f>
        <v/>
      </c>
      <c r="U157" s="9" t="n">
        <f aca="false">IF(N(K157)&gt;0,N(L157),0)</f>
        <v>0</v>
      </c>
      <c r="V157" s="9" t="n">
        <f aca="false">IF(AND(N(K157)&gt;0,ISNUMBER(M157)),M157-Setup!$C$11,99999)</f>
        <v>99999</v>
      </c>
    </row>
    <row r="158" customFormat="false" ht="15" hidden="false" customHeight="false" outlineLevel="0" collapsed="false">
      <c r="A158" s="40" t="str">
        <f aca="false">IF(D158="","",ROW()-7)</f>
        <v/>
      </c>
      <c r="B158" s="79"/>
      <c r="C158" s="75"/>
      <c r="D158" s="76"/>
      <c r="E158" s="80"/>
      <c r="F158" s="79"/>
      <c r="G158" s="76"/>
      <c r="H158" s="54" t="str">
        <f aca="false">IF(OR(D158="",B158=""),"",IF(F158&lt;&gt;"",F158,B158+IFERROR(INDEX(Suppliers!$Q$7:$Q$106,MATCH(D158,Suppliers!$B$7:$B$106,0)),Setup!$C$7)))</f>
        <v/>
      </c>
      <c r="I158" s="46" t="str">
        <f aca="false">IF(OR(D158="",C158=""),IF(D158="","",0),SUMIFS(Payments!$D$8:$D$507,Payments!$C$8:$C$507,D158,Payments!$F$8:$F$507,C158))</f>
        <v/>
      </c>
      <c r="J158" s="46" t="str">
        <f aca="false">IF(D158="","",MIN(P158,MAX(0,R158-Q158)))</f>
        <v/>
      </c>
      <c r="K158" s="47" t="str">
        <f aca="false">IF(D158="","",P158-J158)</f>
        <v/>
      </c>
      <c r="L158" s="55" t="str">
        <f aca="false">IF(OR(D158="",N(K158)&lt;=0,H158=""),"",MAX(0,Setup!$C$11-H158))</f>
        <v/>
      </c>
      <c r="M158" s="54" t="str">
        <f aca="false">IF(OR(D158="",B158=""),"",IF(IFERROR(INDEX(Suppliers!$S$7:$S$106,MATCH(D158,Suppliers!$B$7:$B$106,0)),"")="","–",B158+IFERROR(INDEX(Suppliers!$S$7:$S$106,MATCH(D158,Suppliers!$B$7:$B$106,0)),"")))</f>
        <v/>
      </c>
      <c r="N158" s="56" t="str">
        <f aca="false">IF(D158="","",IF(N(K158)&lt;=0,"Paid",IF(AND(ISNUMBER(M158),Setup!$C$11&gt;M158),"⚠ MSME late",IF(N(L158)&gt;0,"Overdue",IF(N(V158)&lt;=Setup!$C$9,"⚠ MSME due soon",IF(K158&lt;E158,"Part paid","Not due"))))))</f>
        <v/>
      </c>
      <c r="O158" s="50" t="str">
        <f aca="false">IF(AND(D158="",B158="",C158="",E158=""),"",IF(D158="","⚠ Pick supplier",IF(ISNA(MATCH(D158,Suppliers!$B$7:$B$106,0)),"⚠ Supplier not in list",IF(B158="","⚠ Enter bill date",IF(N(E158)&lt;=0,"⚠ Enter amount",IF(AND(C158&lt;&gt;"",COUNTIFS($D$8:$D$507,D158,$C$8:$C$507,C158)&gt;1),"⚠ Bill no. used twice",IF(N(I158)&gt;N(E158),"⚠ Paid more than bill","✔")))))))</f>
        <v/>
      </c>
      <c r="P158" s="9" t="n">
        <f aca="false">IF(D158="",0,MAX(0,N(E158)-N(I158)))</f>
        <v>0</v>
      </c>
      <c r="Q158" s="9" t="n">
        <f aca="false">IF(D158="",0,SUMIFS($P$8:$P$507,$D$8:$D$507,D158,$B$8:$B$507,"&lt;"&amp;B158)+SUMIFS($P$8:P157,$D$8:D157,D158,$B$8:B157,B158))</f>
        <v>0</v>
      </c>
      <c r="R158" s="9" t="n">
        <f aca="false">IF(D158="",0,IFERROR(INDEX(Suppliers!$R$7:$R$106,MATCH(D158,Suppliers!$B$7:$B$106,0)),0))</f>
        <v>0</v>
      </c>
      <c r="S158" s="9" t="str">
        <f aca="false">IF(N(K158)&gt;0,IF(H158="",99999,MIN(H158,IF(ISNUMBER(M158),M158,H158)))+ROW()/100000,"")</f>
        <v/>
      </c>
      <c r="U158" s="9" t="n">
        <f aca="false">IF(N(K158)&gt;0,N(L158),0)</f>
        <v>0</v>
      </c>
      <c r="V158" s="9" t="n">
        <f aca="false">IF(AND(N(K158)&gt;0,ISNUMBER(M158)),M158-Setup!$C$11,99999)</f>
        <v>99999</v>
      </c>
    </row>
    <row r="159" customFormat="false" ht="15" hidden="false" customHeight="false" outlineLevel="0" collapsed="false">
      <c r="A159" s="40" t="str">
        <f aca="false">IF(D159="","",ROW()-7)</f>
        <v/>
      </c>
      <c r="B159" s="79"/>
      <c r="C159" s="75"/>
      <c r="D159" s="76"/>
      <c r="E159" s="80"/>
      <c r="F159" s="79"/>
      <c r="G159" s="76"/>
      <c r="H159" s="54" t="str">
        <f aca="false">IF(OR(D159="",B159=""),"",IF(F159&lt;&gt;"",F159,B159+IFERROR(INDEX(Suppliers!$Q$7:$Q$106,MATCH(D159,Suppliers!$B$7:$B$106,0)),Setup!$C$7)))</f>
        <v/>
      </c>
      <c r="I159" s="46" t="str">
        <f aca="false">IF(OR(D159="",C159=""),IF(D159="","",0),SUMIFS(Payments!$D$8:$D$507,Payments!$C$8:$C$507,D159,Payments!$F$8:$F$507,C159))</f>
        <v/>
      </c>
      <c r="J159" s="46" t="str">
        <f aca="false">IF(D159="","",MIN(P159,MAX(0,R159-Q159)))</f>
        <v/>
      </c>
      <c r="K159" s="47" t="str">
        <f aca="false">IF(D159="","",P159-J159)</f>
        <v/>
      </c>
      <c r="L159" s="55" t="str">
        <f aca="false">IF(OR(D159="",N(K159)&lt;=0,H159=""),"",MAX(0,Setup!$C$11-H159))</f>
        <v/>
      </c>
      <c r="M159" s="54" t="str">
        <f aca="false">IF(OR(D159="",B159=""),"",IF(IFERROR(INDEX(Suppliers!$S$7:$S$106,MATCH(D159,Suppliers!$B$7:$B$106,0)),"")="","–",B159+IFERROR(INDEX(Suppliers!$S$7:$S$106,MATCH(D159,Suppliers!$B$7:$B$106,0)),"")))</f>
        <v/>
      </c>
      <c r="N159" s="56" t="str">
        <f aca="false">IF(D159="","",IF(N(K159)&lt;=0,"Paid",IF(AND(ISNUMBER(M159),Setup!$C$11&gt;M159),"⚠ MSME late",IF(N(L159)&gt;0,"Overdue",IF(N(V159)&lt;=Setup!$C$9,"⚠ MSME due soon",IF(K159&lt;E159,"Part paid","Not due"))))))</f>
        <v/>
      </c>
      <c r="O159" s="50" t="str">
        <f aca="false">IF(AND(D159="",B159="",C159="",E159=""),"",IF(D159="","⚠ Pick supplier",IF(ISNA(MATCH(D159,Suppliers!$B$7:$B$106,0)),"⚠ Supplier not in list",IF(B159="","⚠ Enter bill date",IF(N(E159)&lt;=0,"⚠ Enter amount",IF(AND(C159&lt;&gt;"",COUNTIFS($D$8:$D$507,D159,$C$8:$C$507,C159)&gt;1),"⚠ Bill no. used twice",IF(N(I159)&gt;N(E159),"⚠ Paid more than bill","✔")))))))</f>
        <v/>
      </c>
      <c r="P159" s="9" t="n">
        <f aca="false">IF(D159="",0,MAX(0,N(E159)-N(I159)))</f>
        <v>0</v>
      </c>
      <c r="Q159" s="9" t="n">
        <f aca="false">IF(D159="",0,SUMIFS($P$8:$P$507,$D$8:$D$507,D159,$B$8:$B$507,"&lt;"&amp;B159)+SUMIFS($P$8:P158,$D$8:D158,D159,$B$8:B158,B159))</f>
        <v>0</v>
      </c>
      <c r="R159" s="9" t="n">
        <f aca="false">IF(D159="",0,IFERROR(INDEX(Suppliers!$R$7:$R$106,MATCH(D159,Suppliers!$B$7:$B$106,0)),0))</f>
        <v>0</v>
      </c>
      <c r="S159" s="9" t="str">
        <f aca="false">IF(N(K159)&gt;0,IF(H159="",99999,MIN(H159,IF(ISNUMBER(M159),M159,H159)))+ROW()/100000,"")</f>
        <v/>
      </c>
      <c r="U159" s="9" t="n">
        <f aca="false">IF(N(K159)&gt;0,N(L159),0)</f>
        <v>0</v>
      </c>
      <c r="V159" s="9" t="n">
        <f aca="false">IF(AND(N(K159)&gt;0,ISNUMBER(M159)),M159-Setup!$C$11,99999)</f>
        <v>99999</v>
      </c>
    </row>
    <row r="160" customFormat="false" ht="15" hidden="false" customHeight="false" outlineLevel="0" collapsed="false">
      <c r="A160" s="40" t="str">
        <f aca="false">IF(D160="","",ROW()-7)</f>
        <v/>
      </c>
      <c r="B160" s="79"/>
      <c r="C160" s="75"/>
      <c r="D160" s="76"/>
      <c r="E160" s="80"/>
      <c r="F160" s="79"/>
      <c r="G160" s="76"/>
      <c r="H160" s="54" t="str">
        <f aca="false">IF(OR(D160="",B160=""),"",IF(F160&lt;&gt;"",F160,B160+IFERROR(INDEX(Suppliers!$Q$7:$Q$106,MATCH(D160,Suppliers!$B$7:$B$106,0)),Setup!$C$7)))</f>
        <v/>
      </c>
      <c r="I160" s="46" t="str">
        <f aca="false">IF(OR(D160="",C160=""),IF(D160="","",0),SUMIFS(Payments!$D$8:$D$507,Payments!$C$8:$C$507,D160,Payments!$F$8:$F$507,C160))</f>
        <v/>
      </c>
      <c r="J160" s="46" t="str">
        <f aca="false">IF(D160="","",MIN(P160,MAX(0,R160-Q160)))</f>
        <v/>
      </c>
      <c r="K160" s="47" t="str">
        <f aca="false">IF(D160="","",P160-J160)</f>
        <v/>
      </c>
      <c r="L160" s="55" t="str">
        <f aca="false">IF(OR(D160="",N(K160)&lt;=0,H160=""),"",MAX(0,Setup!$C$11-H160))</f>
        <v/>
      </c>
      <c r="M160" s="54" t="str">
        <f aca="false">IF(OR(D160="",B160=""),"",IF(IFERROR(INDEX(Suppliers!$S$7:$S$106,MATCH(D160,Suppliers!$B$7:$B$106,0)),"")="","–",B160+IFERROR(INDEX(Suppliers!$S$7:$S$106,MATCH(D160,Suppliers!$B$7:$B$106,0)),"")))</f>
        <v/>
      </c>
      <c r="N160" s="56" t="str">
        <f aca="false">IF(D160="","",IF(N(K160)&lt;=0,"Paid",IF(AND(ISNUMBER(M160),Setup!$C$11&gt;M160),"⚠ MSME late",IF(N(L160)&gt;0,"Overdue",IF(N(V160)&lt;=Setup!$C$9,"⚠ MSME due soon",IF(K160&lt;E160,"Part paid","Not due"))))))</f>
        <v/>
      </c>
      <c r="O160" s="50" t="str">
        <f aca="false">IF(AND(D160="",B160="",C160="",E160=""),"",IF(D160="","⚠ Pick supplier",IF(ISNA(MATCH(D160,Suppliers!$B$7:$B$106,0)),"⚠ Supplier not in list",IF(B160="","⚠ Enter bill date",IF(N(E160)&lt;=0,"⚠ Enter amount",IF(AND(C160&lt;&gt;"",COUNTIFS($D$8:$D$507,D160,$C$8:$C$507,C160)&gt;1),"⚠ Bill no. used twice",IF(N(I160)&gt;N(E160),"⚠ Paid more than bill","✔")))))))</f>
        <v/>
      </c>
      <c r="P160" s="9" t="n">
        <f aca="false">IF(D160="",0,MAX(0,N(E160)-N(I160)))</f>
        <v>0</v>
      </c>
      <c r="Q160" s="9" t="n">
        <f aca="false">IF(D160="",0,SUMIFS($P$8:$P$507,$D$8:$D$507,D160,$B$8:$B$507,"&lt;"&amp;B160)+SUMIFS($P$8:P159,$D$8:D159,D160,$B$8:B159,B160))</f>
        <v>0</v>
      </c>
      <c r="R160" s="9" t="n">
        <f aca="false">IF(D160="",0,IFERROR(INDEX(Suppliers!$R$7:$R$106,MATCH(D160,Suppliers!$B$7:$B$106,0)),0))</f>
        <v>0</v>
      </c>
      <c r="S160" s="9" t="str">
        <f aca="false">IF(N(K160)&gt;0,IF(H160="",99999,MIN(H160,IF(ISNUMBER(M160),M160,H160)))+ROW()/100000,"")</f>
        <v/>
      </c>
      <c r="U160" s="9" t="n">
        <f aca="false">IF(N(K160)&gt;0,N(L160),0)</f>
        <v>0</v>
      </c>
      <c r="V160" s="9" t="n">
        <f aca="false">IF(AND(N(K160)&gt;0,ISNUMBER(M160)),M160-Setup!$C$11,99999)</f>
        <v>99999</v>
      </c>
    </row>
    <row r="161" customFormat="false" ht="15" hidden="false" customHeight="false" outlineLevel="0" collapsed="false">
      <c r="A161" s="40" t="str">
        <f aca="false">IF(D161="","",ROW()-7)</f>
        <v/>
      </c>
      <c r="B161" s="79"/>
      <c r="C161" s="75"/>
      <c r="D161" s="76"/>
      <c r="E161" s="80"/>
      <c r="F161" s="79"/>
      <c r="G161" s="76"/>
      <c r="H161" s="54" t="str">
        <f aca="false">IF(OR(D161="",B161=""),"",IF(F161&lt;&gt;"",F161,B161+IFERROR(INDEX(Suppliers!$Q$7:$Q$106,MATCH(D161,Suppliers!$B$7:$B$106,0)),Setup!$C$7)))</f>
        <v/>
      </c>
      <c r="I161" s="46" t="str">
        <f aca="false">IF(OR(D161="",C161=""),IF(D161="","",0),SUMIFS(Payments!$D$8:$D$507,Payments!$C$8:$C$507,D161,Payments!$F$8:$F$507,C161))</f>
        <v/>
      </c>
      <c r="J161" s="46" t="str">
        <f aca="false">IF(D161="","",MIN(P161,MAX(0,R161-Q161)))</f>
        <v/>
      </c>
      <c r="K161" s="47" t="str">
        <f aca="false">IF(D161="","",P161-J161)</f>
        <v/>
      </c>
      <c r="L161" s="55" t="str">
        <f aca="false">IF(OR(D161="",N(K161)&lt;=0,H161=""),"",MAX(0,Setup!$C$11-H161))</f>
        <v/>
      </c>
      <c r="M161" s="54" t="str">
        <f aca="false">IF(OR(D161="",B161=""),"",IF(IFERROR(INDEX(Suppliers!$S$7:$S$106,MATCH(D161,Suppliers!$B$7:$B$106,0)),"")="","–",B161+IFERROR(INDEX(Suppliers!$S$7:$S$106,MATCH(D161,Suppliers!$B$7:$B$106,0)),"")))</f>
        <v/>
      </c>
      <c r="N161" s="56" t="str">
        <f aca="false">IF(D161="","",IF(N(K161)&lt;=0,"Paid",IF(AND(ISNUMBER(M161),Setup!$C$11&gt;M161),"⚠ MSME late",IF(N(L161)&gt;0,"Overdue",IF(N(V161)&lt;=Setup!$C$9,"⚠ MSME due soon",IF(K161&lt;E161,"Part paid","Not due"))))))</f>
        <v/>
      </c>
      <c r="O161" s="50" t="str">
        <f aca="false">IF(AND(D161="",B161="",C161="",E161=""),"",IF(D161="","⚠ Pick supplier",IF(ISNA(MATCH(D161,Suppliers!$B$7:$B$106,0)),"⚠ Supplier not in list",IF(B161="","⚠ Enter bill date",IF(N(E161)&lt;=0,"⚠ Enter amount",IF(AND(C161&lt;&gt;"",COUNTIFS($D$8:$D$507,D161,$C$8:$C$507,C161)&gt;1),"⚠ Bill no. used twice",IF(N(I161)&gt;N(E161),"⚠ Paid more than bill","✔")))))))</f>
        <v/>
      </c>
      <c r="P161" s="9" t="n">
        <f aca="false">IF(D161="",0,MAX(0,N(E161)-N(I161)))</f>
        <v>0</v>
      </c>
      <c r="Q161" s="9" t="n">
        <f aca="false">IF(D161="",0,SUMIFS($P$8:$P$507,$D$8:$D$507,D161,$B$8:$B$507,"&lt;"&amp;B161)+SUMIFS($P$8:P160,$D$8:D160,D161,$B$8:B160,B161))</f>
        <v>0</v>
      </c>
      <c r="R161" s="9" t="n">
        <f aca="false">IF(D161="",0,IFERROR(INDEX(Suppliers!$R$7:$R$106,MATCH(D161,Suppliers!$B$7:$B$106,0)),0))</f>
        <v>0</v>
      </c>
      <c r="S161" s="9" t="str">
        <f aca="false">IF(N(K161)&gt;0,IF(H161="",99999,MIN(H161,IF(ISNUMBER(M161),M161,H161)))+ROW()/100000,"")</f>
        <v/>
      </c>
      <c r="U161" s="9" t="n">
        <f aca="false">IF(N(K161)&gt;0,N(L161),0)</f>
        <v>0</v>
      </c>
      <c r="V161" s="9" t="n">
        <f aca="false">IF(AND(N(K161)&gt;0,ISNUMBER(M161)),M161-Setup!$C$11,99999)</f>
        <v>99999</v>
      </c>
    </row>
    <row r="162" customFormat="false" ht="15" hidden="false" customHeight="false" outlineLevel="0" collapsed="false">
      <c r="A162" s="40" t="str">
        <f aca="false">IF(D162="","",ROW()-7)</f>
        <v/>
      </c>
      <c r="B162" s="79"/>
      <c r="C162" s="75"/>
      <c r="D162" s="76"/>
      <c r="E162" s="80"/>
      <c r="F162" s="79"/>
      <c r="G162" s="76"/>
      <c r="H162" s="54" t="str">
        <f aca="false">IF(OR(D162="",B162=""),"",IF(F162&lt;&gt;"",F162,B162+IFERROR(INDEX(Suppliers!$Q$7:$Q$106,MATCH(D162,Suppliers!$B$7:$B$106,0)),Setup!$C$7)))</f>
        <v/>
      </c>
      <c r="I162" s="46" t="str">
        <f aca="false">IF(OR(D162="",C162=""),IF(D162="","",0),SUMIFS(Payments!$D$8:$D$507,Payments!$C$8:$C$507,D162,Payments!$F$8:$F$507,C162))</f>
        <v/>
      </c>
      <c r="J162" s="46" t="str">
        <f aca="false">IF(D162="","",MIN(P162,MAX(0,R162-Q162)))</f>
        <v/>
      </c>
      <c r="K162" s="47" t="str">
        <f aca="false">IF(D162="","",P162-J162)</f>
        <v/>
      </c>
      <c r="L162" s="55" t="str">
        <f aca="false">IF(OR(D162="",N(K162)&lt;=0,H162=""),"",MAX(0,Setup!$C$11-H162))</f>
        <v/>
      </c>
      <c r="M162" s="54" t="str">
        <f aca="false">IF(OR(D162="",B162=""),"",IF(IFERROR(INDEX(Suppliers!$S$7:$S$106,MATCH(D162,Suppliers!$B$7:$B$106,0)),"")="","–",B162+IFERROR(INDEX(Suppliers!$S$7:$S$106,MATCH(D162,Suppliers!$B$7:$B$106,0)),"")))</f>
        <v/>
      </c>
      <c r="N162" s="56" t="str">
        <f aca="false">IF(D162="","",IF(N(K162)&lt;=0,"Paid",IF(AND(ISNUMBER(M162),Setup!$C$11&gt;M162),"⚠ MSME late",IF(N(L162)&gt;0,"Overdue",IF(N(V162)&lt;=Setup!$C$9,"⚠ MSME due soon",IF(K162&lt;E162,"Part paid","Not due"))))))</f>
        <v/>
      </c>
      <c r="O162" s="50" t="str">
        <f aca="false">IF(AND(D162="",B162="",C162="",E162=""),"",IF(D162="","⚠ Pick supplier",IF(ISNA(MATCH(D162,Suppliers!$B$7:$B$106,0)),"⚠ Supplier not in list",IF(B162="","⚠ Enter bill date",IF(N(E162)&lt;=0,"⚠ Enter amount",IF(AND(C162&lt;&gt;"",COUNTIFS($D$8:$D$507,D162,$C$8:$C$507,C162)&gt;1),"⚠ Bill no. used twice",IF(N(I162)&gt;N(E162),"⚠ Paid more than bill","✔")))))))</f>
        <v/>
      </c>
      <c r="P162" s="9" t="n">
        <f aca="false">IF(D162="",0,MAX(0,N(E162)-N(I162)))</f>
        <v>0</v>
      </c>
      <c r="Q162" s="9" t="n">
        <f aca="false">IF(D162="",0,SUMIFS($P$8:$P$507,$D$8:$D$507,D162,$B$8:$B$507,"&lt;"&amp;B162)+SUMIFS($P$8:P161,$D$8:D161,D162,$B$8:B161,B162))</f>
        <v>0</v>
      </c>
      <c r="R162" s="9" t="n">
        <f aca="false">IF(D162="",0,IFERROR(INDEX(Suppliers!$R$7:$R$106,MATCH(D162,Suppliers!$B$7:$B$106,0)),0))</f>
        <v>0</v>
      </c>
      <c r="S162" s="9" t="str">
        <f aca="false">IF(N(K162)&gt;0,IF(H162="",99999,MIN(H162,IF(ISNUMBER(M162),M162,H162)))+ROW()/100000,"")</f>
        <v/>
      </c>
      <c r="U162" s="9" t="n">
        <f aca="false">IF(N(K162)&gt;0,N(L162),0)</f>
        <v>0</v>
      </c>
      <c r="V162" s="9" t="n">
        <f aca="false">IF(AND(N(K162)&gt;0,ISNUMBER(M162)),M162-Setup!$C$11,99999)</f>
        <v>99999</v>
      </c>
    </row>
    <row r="163" customFormat="false" ht="15" hidden="false" customHeight="false" outlineLevel="0" collapsed="false">
      <c r="A163" s="40" t="str">
        <f aca="false">IF(D163="","",ROW()-7)</f>
        <v/>
      </c>
      <c r="B163" s="79"/>
      <c r="C163" s="75"/>
      <c r="D163" s="76"/>
      <c r="E163" s="80"/>
      <c r="F163" s="79"/>
      <c r="G163" s="76"/>
      <c r="H163" s="54" t="str">
        <f aca="false">IF(OR(D163="",B163=""),"",IF(F163&lt;&gt;"",F163,B163+IFERROR(INDEX(Suppliers!$Q$7:$Q$106,MATCH(D163,Suppliers!$B$7:$B$106,0)),Setup!$C$7)))</f>
        <v/>
      </c>
      <c r="I163" s="46" t="str">
        <f aca="false">IF(OR(D163="",C163=""),IF(D163="","",0),SUMIFS(Payments!$D$8:$D$507,Payments!$C$8:$C$507,D163,Payments!$F$8:$F$507,C163))</f>
        <v/>
      </c>
      <c r="J163" s="46" t="str">
        <f aca="false">IF(D163="","",MIN(P163,MAX(0,R163-Q163)))</f>
        <v/>
      </c>
      <c r="K163" s="47" t="str">
        <f aca="false">IF(D163="","",P163-J163)</f>
        <v/>
      </c>
      <c r="L163" s="55" t="str">
        <f aca="false">IF(OR(D163="",N(K163)&lt;=0,H163=""),"",MAX(0,Setup!$C$11-H163))</f>
        <v/>
      </c>
      <c r="M163" s="54" t="str">
        <f aca="false">IF(OR(D163="",B163=""),"",IF(IFERROR(INDEX(Suppliers!$S$7:$S$106,MATCH(D163,Suppliers!$B$7:$B$106,0)),"")="","–",B163+IFERROR(INDEX(Suppliers!$S$7:$S$106,MATCH(D163,Suppliers!$B$7:$B$106,0)),"")))</f>
        <v/>
      </c>
      <c r="N163" s="56" t="str">
        <f aca="false">IF(D163="","",IF(N(K163)&lt;=0,"Paid",IF(AND(ISNUMBER(M163),Setup!$C$11&gt;M163),"⚠ MSME late",IF(N(L163)&gt;0,"Overdue",IF(N(V163)&lt;=Setup!$C$9,"⚠ MSME due soon",IF(K163&lt;E163,"Part paid","Not due"))))))</f>
        <v/>
      </c>
      <c r="O163" s="50" t="str">
        <f aca="false">IF(AND(D163="",B163="",C163="",E163=""),"",IF(D163="","⚠ Pick supplier",IF(ISNA(MATCH(D163,Suppliers!$B$7:$B$106,0)),"⚠ Supplier not in list",IF(B163="","⚠ Enter bill date",IF(N(E163)&lt;=0,"⚠ Enter amount",IF(AND(C163&lt;&gt;"",COUNTIFS($D$8:$D$507,D163,$C$8:$C$507,C163)&gt;1),"⚠ Bill no. used twice",IF(N(I163)&gt;N(E163),"⚠ Paid more than bill","✔")))))))</f>
        <v/>
      </c>
      <c r="P163" s="9" t="n">
        <f aca="false">IF(D163="",0,MAX(0,N(E163)-N(I163)))</f>
        <v>0</v>
      </c>
      <c r="Q163" s="9" t="n">
        <f aca="false">IF(D163="",0,SUMIFS($P$8:$P$507,$D$8:$D$507,D163,$B$8:$B$507,"&lt;"&amp;B163)+SUMIFS($P$8:P162,$D$8:D162,D163,$B$8:B162,B163))</f>
        <v>0</v>
      </c>
      <c r="R163" s="9" t="n">
        <f aca="false">IF(D163="",0,IFERROR(INDEX(Suppliers!$R$7:$R$106,MATCH(D163,Suppliers!$B$7:$B$106,0)),0))</f>
        <v>0</v>
      </c>
      <c r="S163" s="9" t="str">
        <f aca="false">IF(N(K163)&gt;0,IF(H163="",99999,MIN(H163,IF(ISNUMBER(M163),M163,H163)))+ROW()/100000,"")</f>
        <v/>
      </c>
      <c r="U163" s="9" t="n">
        <f aca="false">IF(N(K163)&gt;0,N(L163),0)</f>
        <v>0</v>
      </c>
      <c r="V163" s="9" t="n">
        <f aca="false">IF(AND(N(K163)&gt;0,ISNUMBER(M163)),M163-Setup!$C$11,99999)</f>
        <v>99999</v>
      </c>
    </row>
    <row r="164" customFormat="false" ht="15" hidden="false" customHeight="false" outlineLevel="0" collapsed="false">
      <c r="A164" s="40" t="str">
        <f aca="false">IF(D164="","",ROW()-7)</f>
        <v/>
      </c>
      <c r="B164" s="79"/>
      <c r="C164" s="75"/>
      <c r="D164" s="76"/>
      <c r="E164" s="80"/>
      <c r="F164" s="79"/>
      <c r="G164" s="76"/>
      <c r="H164" s="54" t="str">
        <f aca="false">IF(OR(D164="",B164=""),"",IF(F164&lt;&gt;"",F164,B164+IFERROR(INDEX(Suppliers!$Q$7:$Q$106,MATCH(D164,Suppliers!$B$7:$B$106,0)),Setup!$C$7)))</f>
        <v/>
      </c>
      <c r="I164" s="46" t="str">
        <f aca="false">IF(OR(D164="",C164=""),IF(D164="","",0),SUMIFS(Payments!$D$8:$D$507,Payments!$C$8:$C$507,D164,Payments!$F$8:$F$507,C164))</f>
        <v/>
      </c>
      <c r="J164" s="46" t="str">
        <f aca="false">IF(D164="","",MIN(P164,MAX(0,R164-Q164)))</f>
        <v/>
      </c>
      <c r="K164" s="47" t="str">
        <f aca="false">IF(D164="","",P164-J164)</f>
        <v/>
      </c>
      <c r="L164" s="55" t="str">
        <f aca="false">IF(OR(D164="",N(K164)&lt;=0,H164=""),"",MAX(0,Setup!$C$11-H164))</f>
        <v/>
      </c>
      <c r="M164" s="54" t="str">
        <f aca="false">IF(OR(D164="",B164=""),"",IF(IFERROR(INDEX(Suppliers!$S$7:$S$106,MATCH(D164,Suppliers!$B$7:$B$106,0)),"")="","–",B164+IFERROR(INDEX(Suppliers!$S$7:$S$106,MATCH(D164,Suppliers!$B$7:$B$106,0)),"")))</f>
        <v/>
      </c>
      <c r="N164" s="56" t="str">
        <f aca="false">IF(D164="","",IF(N(K164)&lt;=0,"Paid",IF(AND(ISNUMBER(M164),Setup!$C$11&gt;M164),"⚠ MSME late",IF(N(L164)&gt;0,"Overdue",IF(N(V164)&lt;=Setup!$C$9,"⚠ MSME due soon",IF(K164&lt;E164,"Part paid","Not due"))))))</f>
        <v/>
      </c>
      <c r="O164" s="50" t="str">
        <f aca="false">IF(AND(D164="",B164="",C164="",E164=""),"",IF(D164="","⚠ Pick supplier",IF(ISNA(MATCH(D164,Suppliers!$B$7:$B$106,0)),"⚠ Supplier not in list",IF(B164="","⚠ Enter bill date",IF(N(E164)&lt;=0,"⚠ Enter amount",IF(AND(C164&lt;&gt;"",COUNTIFS($D$8:$D$507,D164,$C$8:$C$507,C164)&gt;1),"⚠ Bill no. used twice",IF(N(I164)&gt;N(E164),"⚠ Paid more than bill","✔")))))))</f>
        <v/>
      </c>
      <c r="P164" s="9" t="n">
        <f aca="false">IF(D164="",0,MAX(0,N(E164)-N(I164)))</f>
        <v>0</v>
      </c>
      <c r="Q164" s="9" t="n">
        <f aca="false">IF(D164="",0,SUMIFS($P$8:$P$507,$D$8:$D$507,D164,$B$8:$B$507,"&lt;"&amp;B164)+SUMIFS($P$8:P163,$D$8:D163,D164,$B$8:B163,B164))</f>
        <v>0</v>
      </c>
      <c r="R164" s="9" t="n">
        <f aca="false">IF(D164="",0,IFERROR(INDEX(Suppliers!$R$7:$R$106,MATCH(D164,Suppliers!$B$7:$B$106,0)),0))</f>
        <v>0</v>
      </c>
      <c r="S164" s="9" t="str">
        <f aca="false">IF(N(K164)&gt;0,IF(H164="",99999,MIN(H164,IF(ISNUMBER(M164),M164,H164)))+ROW()/100000,"")</f>
        <v/>
      </c>
      <c r="U164" s="9" t="n">
        <f aca="false">IF(N(K164)&gt;0,N(L164),0)</f>
        <v>0</v>
      </c>
      <c r="V164" s="9" t="n">
        <f aca="false">IF(AND(N(K164)&gt;0,ISNUMBER(M164)),M164-Setup!$C$11,99999)</f>
        <v>99999</v>
      </c>
    </row>
    <row r="165" customFormat="false" ht="15" hidden="false" customHeight="false" outlineLevel="0" collapsed="false">
      <c r="A165" s="40" t="str">
        <f aca="false">IF(D165="","",ROW()-7)</f>
        <v/>
      </c>
      <c r="B165" s="79"/>
      <c r="C165" s="75"/>
      <c r="D165" s="76"/>
      <c r="E165" s="80"/>
      <c r="F165" s="79"/>
      <c r="G165" s="76"/>
      <c r="H165" s="54" t="str">
        <f aca="false">IF(OR(D165="",B165=""),"",IF(F165&lt;&gt;"",F165,B165+IFERROR(INDEX(Suppliers!$Q$7:$Q$106,MATCH(D165,Suppliers!$B$7:$B$106,0)),Setup!$C$7)))</f>
        <v/>
      </c>
      <c r="I165" s="46" t="str">
        <f aca="false">IF(OR(D165="",C165=""),IF(D165="","",0),SUMIFS(Payments!$D$8:$D$507,Payments!$C$8:$C$507,D165,Payments!$F$8:$F$507,C165))</f>
        <v/>
      </c>
      <c r="J165" s="46" t="str">
        <f aca="false">IF(D165="","",MIN(P165,MAX(0,R165-Q165)))</f>
        <v/>
      </c>
      <c r="K165" s="47" t="str">
        <f aca="false">IF(D165="","",P165-J165)</f>
        <v/>
      </c>
      <c r="L165" s="55" t="str">
        <f aca="false">IF(OR(D165="",N(K165)&lt;=0,H165=""),"",MAX(0,Setup!$C$11-H165))</f>
        <v/>
      </c>
      <c r="M165" s="54" t="str">
        <f aca="false">IF(OR(D165="",B165=""),"",IF(IFERROR(INDEX(Suppliers!$S$7:$S$106,MATCH(D165,Suppliers!$B$7:$B$106,0)),"")="","–",B165+IFERROR(INDEX(Suppliers!$S$7:$S$106,MATCH(D165,Suppliers!$B$7:$B$106,0)),"")))</f>
        <v/>
      </c>
      <c r="N165" s="56" t="str">
        <f aca="false">IF(D165="","",IF(N(K165)&lt;=0,"Paid",IF(AND(ISNUMBER(M165),Setup!$C$11&gt;M165),"⚠ MSME late",IF(N(L165)&gt;0,"Overdue",IF(N(V165)&lt;=Setup!$C$9,"⚠ MSME due soon",IF(K165&lt;E165,"Part paid","Not due"))))))</f>
        <v/>
      </c>
      <c r="O165" s="50" t="str">
        <f aca="false">IF(AND(D165="",B165="",C165="",E165=""),"",IF(D165="","⚠ Pick supplier",IF(ISNA(MATCH(D165,Suppliers!$B$7:$B$106,0)),"⚠ Supplier not in list",IF(B165="","⚠ Enter bill date",IF(N(E165)&lt;=0,"⚠ Enter amount",IF(AND(C165&lt;&gt;"",COUNTIFS($D$8:$D$507,D165,$C$8:$C$507,C165)&gt;1),"⚠ Bill no. used twice",IF(N(I165)&gt;N(E165),"⚠ Paid more than bill","✔")))))))</f>
        <v/>
      </c>
      <c r="P165" s="9" t="n">
        <f aca="false">IF(D165="",0,MAX(0,N(E165)-N(I165)))</f>
        <v>0</v>
      </c>
      <c r="Q165" s="9" t="n">
        <f aca="false">IF(D165="",0,SUMIFS($P$8:$P$507,$D$8:$D$507,D165,$B$8:$B$507,"&lt;"&amp;B165)+SUMIFS($P$8:P164,$D$8:D164,D165,$B$8:B164,B165))</f>
        <v>0</v>
      </c>
      <c r="R165" s="9" t="n">
        <f aca="false">IF(D165="",0,IFERROR(INDEX(Suppliers!$R$7:$R$106,MATCH(D165,Suppliers!$B$7:$B$106,0)),0))</f>
        <v>0</v>
      </c>
      <c r="S165" s="9" t="str">
        <f aca="false">IF(N(K165)&gt;0,IF(H165="",99999,MIN(H165,IF(ISNUMBER(M165),M165,H165)))+ROW()/100000,"")</f>
        <v/>
      </c>
      <c r="U165" s="9" t="n">
        <f aca="false">IF(N(K165)&gt;0,N(L165),0)</f>
        <v>0</v>
      </c>
      <c r="V165" s="9" t="n">
        <f aca="false">IF(AND(N(K165)&gt;0,ISNUMBER(M165)),M165-Setup!$C$11,99999)</f>
        <v>99999</v>
      </c>
    </row>
    <row r="166" customFormat="false" ht="15" hidden="false" customHeight="false" outlineLevel="0" collapsed="false">
      <c r="A166" s="40" t="str">
        <f aca="false">IF(D166="","",ROW()-7)</f>
        <v/>
      </c>
      <c r="B166" s="79"/>
      <c r="C166" s="75"/>
      <c r="D166" s="76"/>
      <c r="E166" s="80"/>
      <c r="F166" s="79"/>
      <c r="G166" s="76"/>
      <c r="H166" s="54" t="str">
        <f aca="false">IF(OR(D166="",B166=""),"",IF(F166&lt;&gt;"",F166,B166+IFERROR(INDEX(Suppliers!$Q$7:$Q$106,MATCH(D166,Suppliers!$B$7:$B$106,0)),Setup!$C$7)))</f>
        <v/>
      </c>
      <c r="I166" s="46" t="str">
        <f aca="false">IF(OR(D166="",C166=""),IF(D166="","",0),SUMIFS(Payments!$D$8:$D$507,Payments!$C$8:$C$507,D166,Payments!$F$8:$F$507,C166))</f>
        <v/>
      </c>
      <c r="J166" s="46" t="str">
        <f aca="false">IF(D166="","",MIN(P166,MAX(0,R166-Q166)))</f>
        <v/>
      </c>
      <c r="K166" s="47" t="str">
        <f aca="false">IF(D166="","",P166-J166)</f>
        <v/>
      </c>
      <c r="L166" s="55" t="str">
        <f aca="false">IF(OR(D166="",N(K166)&lt;=0,H166=""),"",MAX(0,Setup!$C$11-H166))</f>
        <v/>
      </c>
      <c r="M166" s="54" t="str">
        <f aca="false">IF(OR(D166="",B166=""),"",IF(IFERROR(INDEX(Suppliers!$S$7:$S$106,MATCH(D166,Suppliers!$B$7:$B$106,0)),"")="","–",B166+IFERROR(INDEX(Suppliers!$S$7:$S$106,MATCH(D166,Suppliers!$B$7:$B$106,0)),"")))</f>
        <v/>
      </c>
      <c r="N166" s="56" t="str">
        <f aca="false">IF(D166="","",IF(N(K166)&lt;=0,"Paid",IF(AND(ISNUMBER(M166),Setup!$C$11&gt;M166),"⚠ MSME late",IF(N(L166)&gt;0,"Overdue",IF(N(V166)&lt;=Setup!$C$9,"⚠ MSME due soon",IF(K166&lt;E166,"Part paid","Not due"))))))</f>
        <v/>
      </c>
      <c r="O166" s="50" t="str">
        <f aca="false">IF(AND(D166="",B166="",C166="",E166=""),"",IF(D166="","⚠ Pick supplier",IF(ISNA(MATCH(D166,Suppliers!$B$7:$B$106,0)),"⚠ Supplier not in list",IF(B166="","⚠ Enter bill date",IF(N(E166)&lt;=0,"⚠ Enter amount",IF(AND(C166&lt;&gt;"",COUNTIFS($D$8:$D$507,D166,$C$8:$C$507,C166)&gt;1),"⚠ Bill no. used twice",IF(N(I166)&gt;N(E166),"⚠ Paid more than bill","✔")))))))</f>
        <v/>
      </c>
      <c r="P166" s="9" t="n">
        <f aca="false">IF(D166="",0,MAX(0,N(E166)-N(I166)))</f>
        <v>0</v>
      </c>
      <c r="Q166" s="9" t="n">
        <f aca="false">IF(D166="",0,SUMIFS($P$8:$P$507,$D$8:$D$507,D166,$B$8:$B$507,"&lt;"&amp;B166)+SUMIFS($P$8:P165,$D$8:D165,D166,$B$8:B165,B166))</f>
        <v>0</v>
      </c>
      <c r="R166" s="9" t="n">
        <f aca="false">IF(D166="",0,IFERROR(INDEX(Suppliers!$R$7:$R$106,MATCH(D166,Suppliers!$B$7:$B$106,0)),0))</f>
        <v>0</v>
      </c>
      <c r="S166" s="9" t="str">
        <f aca="false">IF(N(K166)&gt;0,IF(H166="",99999,MIN(H166,IF(ISNUMBER(M166),M166,H166)))+ROW()/100000,"")</f>
        <v/>
      </c>
      <c r="U166" s="9" t="n">
        <f aca="false">IF(N(K166)&gt;0,N(L166),0)</f>
        <v>0</v>
      </c>
      <c r="V166" s="9" t="n">
        <f aca="false">IF(AND(N(K166)&gt;0,ISNUMBER(M166)),M166-Setup!$C$11,99999)</f>
        <v>99999</v>
      </c>
    </row>
    <row r="167" customFormat="false" ht="15" hidden="false" customHeight="false" outlineLevel="0" collapsed="false">
      <c r="A167" s="40" t="str">
        <f aca="false">IF(D167="","",ROW()-7)</f>
        <v/>
      </c>
      <c r="B167" s="79"/>
      <c r="C167" s="75"/>
      <c r="D167" s="76"/>
      <c r="E167" s="80"/>
      <c r="F167" s="79"/>
      <c r="G167" s="76"/>
      <c r="H167" s="54" t="str">
        <f aca="false">IF(OR(D167="",B167=""),"",IF(F167&lt;&gt;"",F167,B167+IFERROR(INDEX(Suppliers!$Q$7:$Q$106,MATCH(D167,Suppliers!$B$7:$B$106,0)),Setup!$C$7)))</f>
        <v/>
      </c>
      <c r="I167" s="46" t="str">
        <f aca="false">IF(OR(D167="",C167=""),IF(D167="","",0),SUMIFS(Payments!$D$8:$D$507,Payments!$C$8:$C$507,D167,Payments!$F$8:$F$507,C167))</f>
        <v/>
      </c>
      <c r="J167" s="46" t="str">
        <f aca="false">IF(D167="","",MIN(P167,MAX(0,R167-Q167)))</f>
        <v/>
      </c>
      <c r="K167" s="47" t="str">
        <f aca="false">IF(D167="","",P167-J167)</f>
        <v/>
      </c>
      <c r="L167" s="55" t="str">
        <f aca="false">IF(OR(D167="",N(K167)&lt;=0,H167=""),"",MAX(0,Setup!$C$11-H167))</f>
        <v/>
      </c>
      <c r="M167" s="54" t="str">
        <f aca="false">IF(OR(D167="",B167=""),"",IF(IFERROR(INDEX(Suppliers!$S$7:$S$106,MATCH(D167,Suppliers!$B$7:$B$106,0)),"")="","–",B167+IFERROR(INDEX(Suppliers!$S$7:$S$106,MATCH(D167,Suppliers!$B$7:$B$106,0)),"")))</f>
        <v/>
      </c>
      <c r="N167" s="56" t="str">
        <f aca="false">IF(D167="","",IF(N(K167)&lt;=0,"Paid",IF(AND(ISNUMBER(M167),Setup!$C$11&gt;M167),"⚠ MSME late",IF(N(L167)&gt;0,"Overdue",IF(N(V167)&lt;=Setup!$C$9,"⚠ MSME due soon",IF(K167&lt;E167,"Part paid","Not due"))))))</f>
        <v/>
      </c>
      <c r="O167" s="50" t="str">
        <f aca="false">IF(AND(D167="",B167="",C167="",E167=""),"",IF(D167="","⚠ Pick supplier",IF(ISNA(MATCH(D167,Suppliers!$B$7:$B$106,0)),"⚠ Supplier not in list",IF(B167="","⚠ Enter bill date",IF(N(E167)&lt;=0,"⚠ Enter amount",IF(AND(C167&lt;&gt;"",COUNTIFS($D$8:$D$507,D167,$C$8:$C$507,C167)&gt;1),"⚠ Bill no. used twice",IF(N(I167)&gt;N(E167),"⚠ Paid more than bill","✔")))))))</f>
        <v/>
      </c>
      <c r="P167" s="9" t="n">
        <f aca="false">IF(D167="",0,MAX(0,N(E167)-N(I167)))</f>
        <v>0</v>
      </c>
      <c r="Q167" s="9" t="n">
        <f aca="false">IF(D167="",0,SUMIFS($P$8:$P$507,$D$8:$D$507,D167,$B$8:$B$507,"&lt;"&amp;B167)+SUMIFS($P$8:P166,$D$8:D166,D167,$B$8:B166,B167))</f>
        <v>0</v>
      </c>
      <c r="R167" s="9" t="n">
        <f aca="false">IF(D167="",0,IFERROR(INDEX(Suppliers!$R$7:$R$106,MATCH(D167,Suppliers!$B$7:$B$106,0)),0))</f>
        <v>0</v>
      </c>
      <c r="S167" s="9" t="str">
        <f aca="false">IF(N(K167)&gt;0,IF(H167="",99999,MIN(H167,IF(ISNUMBER(M167),M167,H167)))+ROW()/100000,"")</f>
        <v/>
      </c>
      <c r="U167" s="9" t="n">
        <f aca="false">IF(N(K167)&gt;0,N(L167),0)</f>
        <v>0</v>
      </c>
      <c r="V167" s="9" t="n">
        <f aca="false">IF(AND(N(K167)&gt;0,ISNUMBER(M167)),M167-Setup!$C$11,99999)</f>
        <v>99999</v>
      </c>
    </row>
    <row r="168" customFormat="false" ht="15" hidden="false" customHeight="false" outlineLevel="0" collapsed="false">
      <c r="A168" s="40" t="str">
        <f aca="false">IF(D168="","",ROW()-7)</f>
        <v/>
      </c>
      <c r="B168" s="79"/>
      <c r="C168" s="75"/>
      <c r="D168" s="76"/>
      <c r="E168" s="80"/>
      <c r="F168" s="79"/>
      <c r="G168" s="76"/>
      <c r="H168" s="54" t="str">
        <f aca="false">IF(OR(D168="",B168=""),"",IF(F168&lt;&gt;"",F168,B168+IFERROR(INDEX(Suppliers!$Q$7:$Q$106,MATCH(D168,Suppliers!$B$7:$B$106,0)),Setup!$C$7)))</f>
        <v/>
      </c>
      <c r="I168" s="46" t="str">
        <f aca="false">IF(OR(D168="",C168=""),IF(D168="","",0),SUMIFS(Payments!$D$8:$D$507,Payments!$C$8:$C$507,D168,Payments!$F$8:$F$507,C168))</f>
        <v/>
      </c>
      <c r="J168" s="46" t="str">
        <f aca="false">IF(D168="","",MIN(P168,MAX(0,R168-Q168)))</f>
        <v/>
      </c>
      <c r="K168" s="47" t="str">
        <f aca="false">IF(D168="","",P168-J168)</f>
        <v/>
      </c>
      <c r="L168" s="55" t="str">
        <f aca="false">IF(OR(D168="",N(K168)&lt;=0,H168=""),"",MAX(0,Setup!$C$11-H168))</f>
        <v/>
      </c>
      <c r="M168" s="54" t="str">
        <f aca="false">IF(OR(D168="",B168=""),"",IF(IFERROR(INDEX(Suppliers!$S$7:$S$106,MATCH(D168,Suppliers!$B$7:$B$106,0)),"")="","–",B168+IFERROR(INDEX(Suppliers!$S$7:$S$106,MATCH(D168,Suppliers!$B$7:$B$106,0)),"")))</f>
        <v/>
      </c>
      <c r="N168" s="56" t="str">
        <f aca="false">IF(D168="","",IF(N(K168)&lt;=0,"Paid",IF(AND(ISNUMBER(M168),Setup!$C$11&gt;M168),"⚠ MSME late",IF(N(L168)&gt;0,"Overdue",IF(N(V168)&lt;=Setup!$C$9,"⚠ MSME due soon",IF(K168&lt;E168,"Part paid","Not due"))))))</f>
        <v/>
      </c>
      <c r="O168" s="50" t="str">
        <f aca="false">IF(AND(D168="",B168="",C168="",E168=""),"",IF(D168="","⚠ Pick supplier",IF(ISNA(MATCH(D168,Suppliers!$B$7:$B$106,0)),"⚠ Supplier not in list",IF(B168="","⚠ Enter bill date",IF(N(E168)&lt;=0,"⚠ Enter amount",IF(AND(C168&lt;&gt;"",COUNTIFS($D$8:$D$507,D168,$C$8:$C$507,C168)&gt;1),"⚠ Bill no. used twice",IF(N(I168)&gt;N(E168),"⚠ Paid more than bill","✔")))))))</f>
        <v/>
      </c>
      <c r="P168" s="9" t="n">
        <f aca="false">IF(D168="",0,MAX(0,N(E168)-N(I168)))</f>
        <v>0</v>
      </c>
      <c r="Q168" s="9" t="n">
        <f aca="false">IF(D168="",0,SUMIFS($P$8:$P$507,$D$8:$D$507,D168,$B$8:$B$507,"&lt;"&amp;B168)+SUMIFS($P$8:P167,$D$8:D167,D168,$B$8:B167,B168))</f>
        <v>0</v>
      </c>
      <c r="R168" s="9" t="n">
        <f aca="false">IF(D168="",0,IFERROR(INDEX(Suppliers!$R$7:$R$106,MATCH(D168,Suppliers!$B$7:$B$106,0)),0))</f>
        <v>0</v>
      </c>
      <c r="S168" s="9" t="str">
        <f aca="false">IF(N(K168)&gt;0,IF(H168="",99999,MIN(H168,IF(ISNUMBER(M168),M168,H168)))+ROW()/100000,"")</f>
        <v/>
      </c>
      <c r="U168" s="9" t="n">
        <f aca="false">IF(N(K168)&gt;0,N(L168),0)</f>
        <v>0</v>
      </c>
      <c r="V168" s="9" t="n">
        <f aca="false">IF(AND(N(K168)&gt;0,ISNUMBER(M168)),M168-Setup!$C$11,99999)</f>
        <v>99999</v>
      </c>
    </row>
    <row r="169" customFormat="false" ht="15" hidden="false" customHeight="false" outlineLevel="0" collapsed="false">
      <c r="A169" s="40" t="str">
        <f aca="false">IF(D169="","",ROW()-7)</f>
        <v/>
      </c>
      <c r="B169" s="79"/>
      <c r="C169" s="75"/>
      <c r="D169" s="76"/>
      <c r="E169" s="80"/>
      <c r="F169" s="79"/>
      <c r="G169" s="76"/>
      <c r="H169" s="54" t="str">
        <f aca="false">IF(OR(D169="",B169=""),"",IF(F169&lt;&gt;"",F169,B169+IFERROR(INDEX(Suppliers!$Q$7:$Q$106,MATCH(D169,Suppliers!$B$7:$B$106,0)),Setup!$C$7)))</f>
        <v/>
      </c>
      <c r="I169" s="46" t="str">
        <f aca="false">IF(OR(D169="",C169=""),IF(D169="","",0),SUMIFS(Payments!$D$8:$D$507,Payments!$C$8:$C$507,D169,Payments!$F$8:$F$507,C169))</f>
        <v/>
      </c>
      <c r="J169" s="46" t="str">
        <f aca="false">IF(D169="","",MIN(P169,MAX(0,R169-Q169)))</f>
        <v/>
      </c>
      <c r="K169" s="47" t="str">
        <f aca="false">IF(D169="","",P169-J169)</f>
        <v/>
      </c>
      <c r="L169" s="55" t="str">
        <f aca="false">IF(OR(D169="",N(K169)&lt;=0,H169=""),"",MAX(0,Setup!$C$11-H169))</f>
        <v/>
      </c>
      <c r="M169" s="54" t="str">
        <f aca="false">IF(OR(D169="",B169=""),"",IF(IFERROR(INDEX(Suppliers!$S$7:$S$106,MATCH(D169,Suppliers!$B$7:$B$106,0)),"")="","–",B169+IFERROR(INDEX(Suppliers!$S$7:$S$106,MATCH(D169,Suppliers!$B$7:$B$106,0)),"")))</f>
        <v/>
      </c>
      <c r="N169" s="56" t="str">
        <f aca="false">IF(D169="","",IF(N(K169)&lt;=0,"Paid",IF(AND(ISNUMBER(M169),Setup!$C$11&gt;M169),"⚠ MSME late",IF(N(L169)&gt;0,"Overdue",IF(N(V169)&lt;=Setup!$C$9,"⚠ MSME due soon",IF(K169&lt;E169,"Part paid","Not due"))))))</f>
        <v/>
      </c>
      <c r="O169" s="50" t="str">
        <f aca="false">IF(AND(D169="",B169="",C169="",E169=""),"",IF(D169="","⚠ Pick supplier",IF(ISNA(MATCH(D169,Suppliers!$B$7:$B$106,0)),"⚠ Supplier not in list",IF(B169="","⚠ Enter bill date",IF(N(E169)&lt;=0,"⚠ Enter amount",IF(AND(C169&lt;&gt;"",COUNTIFS($D$8:$D$507,D169,$C$8:$C$507,C169)&gt;1),"⚠ Bill no. used twice",IF(N(I169)&gt;N(E169),"⚠ Paid more than bill","✔")))))))</f>
        <v/>
      </c>
      <c r="P169" s="9" t="n">
        <f aca="false">IF(D169="",0,MAX(0,N(E169)-N(I169)))</f>
        <v>0</v>
      </c>
      <c r="Q169" s="9" t="n">
        <f aca="false">IF(D169="",0,SUMIFS($P$8:$P$507,$D$8:$D$507,D169,$B$8:$B$507,"&lt;"&amp;B169)+SUMIFS($P$8:P168,$D$8:D168,D169,$B$8:B168,B169))</f>
        <v>0</v>
      </c>
      <c r="R169" s="9" t="n">
        <f aca="false">IF(D169="",0,IFERROR(INDEX(Suppliers!$R$7:$R$106,MATCH(D169,Suppliers!$B$7:$B$106,0)),0))</f>
        <v>0</v>
      </c>
      <c r="S169" s="9" t="str">
        <f aca="false">IF(N(K169)&gt;0,IF(H169="",99999,MIN(H169,IF(ISNUMBER(M169),M169,H169)))+ROW()/100000,"")</f>
        <v/>
      </c>
      <c r="U169" s="9" t="n">
        <f aca="false">IF(N(K169)&gt;0,N(L169),0)</f>
        <v>0</v>
      </c>
      <c r="V169" s="9" t="n">
        <f aca="false">IF(AND(N(K169)&gt;0,ISNUMBER(M169)),M169-Setup!$C$11,99999)</f>
        <v>99999</v>
      </c>
    </row>
    <row r="170" customFormat="false" ht="15" hidden="false" customHeight="false" outlineLevel="0" collapsed="false">
      <c r="A170" s="40" t="str">
        <f aca="false">IF(D170="","",ROW()-7)</f>
        <v/>
      </c>
      <c r="B170" s="79"/>
      <c r="C170" s="75"/>
      <c r="D170" s="76"/>
      <c r="E170" s="80"/>
      <c r="F170" s="79"/>
      <c r="G170" s="76"/>
      <c r="H170" s="54" t="str">
        <f aca="false">IF(OR(D170="",B170=""),"",IF(F170&lt;&gt;"",F170,B170+IFERROR(INDEX(Suppliers!$Q$7:$Q$106,MATCH(D170,Suppliers!$B$7:$B$106,0)),Setup!$C$7)))</f>
        <v/>
      </c>
      <c r="I170" s="46" t="str">
        <f aca="false">IF(OR(D170="",C170=""),IF(D170="","",0),SUMIFS(Payments!$D$8:$D$507,Payments!$C$8:$C$507,D170,Payments!$F$8:$F$507,C170))</f>
        <v/>
      </c>
      <c r="J170" s="46" t="str">
        <f aca="false">IF(D170="","",MIN(P170,MAX(0,R170-Q170)))</f>
        <v/>
      </c>
      <c r="K170" s="47" t="str">
        <f aca="false">IF(D170="","",P170-J170)</f>
        <v/>
      </c>
      <c r="L170" s="55" t="str">
        <f aca="false">IF(OR(D170="",N(K170)&lt;=0,H170=""),"",MAX(0,Setup!$C$11-H170))</f>
        <v/>
      </c>
      <c r="M170" s="54" t="str">
        <f aca="false">IF(OR(D170="",B170=""),"",IF(IFERROR(INDEX(Suppliers!$S$7:$S$106,MATCH(D170,Suppliers!$B$7:$B$106,0)),"")="","–",B170+IFERROR(INDEX(Suppliers!$S$7:$S$106,MATCH(D170,Suppliers!$B$7:$B$106,0)),"")))</f>
        <v/>
      </c>
      <c r="N170" s="56" t="str">
        <f aca="false">IF(D170="","",IF(N(K170)&lt;=0,"Paid",IF(AND(ISNUMBER(M170),Setup!$C$11&gt;M170),"⚠ MSME late",IF(N(L170)&gt;0,"Overdue",IF(N(V170)&lt;=Setup!$C$9,"⚠ MSME due soon",IF(K170&lt;E170,"Part paid","Not due"))))))</f>
        <v/>
      </c>
      <c r="O170" s="50" t="str">
        <f aca="false">IF(AND(D170="",B170="",C170="",E170=""),"",IF(D170="","⚠ Pick supplier",IF(ISNA(MATCH(D170,Suppliers!$B$7:$B$106,0)),"⚠ Supplier not in list",IF(B170="","⚠ Enter bill date",IF(N(E170)&lt;=0,"⚠ Enter amount",IF(AND(C170&lt;&gt;"",COUNTIFS($D$8:$D$507,D170,$C$8:$C$507,C170)&gt;1),"⚠ Bill no. used twice",IF(N(I170)&gt;N(E170),"⚠ Paid more than bill","✔")))))))</f>
        <v/>
      </c>
      <c r="P170" s="9" t="n">
        <f aca="false">IF(D170="",0,MAX(0,N(E170)-N(I170)))</f>
        <v>0</v>
      </c>
      <c r="Q170" s="9" t="n">
        <f aca="false">IF(D170="",0,SUMIFS($P$8:$P$507,$D$8:$D$507,D170,$B$8:$B$507,"&lt;"&amp;B170)+SUMIFS($P$8:P169,$D$8:D169,D170,$B$8:B169,B170))</f>
        <v>0</v>
      </c>
      <c r="R170" s="9" t="n">
        <f aca="false">IF(D170="",0,IFERROR(INDEX(Suppliers!$R$7:$R$106,MATCH(D170,Suppliers!$B$7:$B$106,0)),0))</f>
        <v>0</v>
      </c>
      <c r="S170" s="9" t="str">
        <f aca="false">IF(N(K170)&gt;0,IF(H170="",99999,MIN(H170,IF(ISNUMBER(M170),M170,H170)))+ROW()/100000,"")</f>
        <v/>
      </c>
      <c r="U170" s="9" t="n">
        <f aca="false">IF(N(K170)&gt;0,N(L170),0)</f>
        <v>0</v>
      </c>
      <c r="V170" s="9" t="n">
        <f aca="false">IF(AND(N(K170)&gt;0,ISNUMBER(M170)),M170-Setup!$C$11,99999)</f>
        <v>99999</v>
      </c>
    </row>
    <row r="171" customFormat="false" ht="15" hidden="false" customHeight="false" outlineLevel="0" collapsed="false">
      <c r="A171" s="40" t="str">
        <f aca="false">IF(D171="","",ROW()-7)</f>
        <v/>
      </c>
      <c r="B171" s="79"/>
      <c r="C171" s="75"/>
      <c r="D171" s="76"/>
      <c r="E171" s="80"/>
      <c r="F171" s="79"/>
      <c r="G171" s="76"/>
      <c r="H171" s="54" t="str">
        <f aca="false">IF(OR(D171="",B171=""),"",IF(F171&lt;&gt;"",F171,B171+IFERROR(INDEX(Suppliers!$Q$7:$Q$106,MATCH(D171,Suppliers!$B$7:$B$106,0)),Setup!$C$7)))</f>
        <v/>
      </c>
      <c r="I171" s="46" t="str">
        <f aca="false">IF(OR(D171="",C171=""),IF(D171="","",0),SUMIFS(Payments!$D$8:$D$507,Payments!$C$8:$C$507,D171,Payments!$F$8:$F$507,C171))</f>
        <v/>
      </c>
      <c r="J171" s="46" t="str">
        <f aca="false">IF(D171="","",MIN(P171,MAX(0,R171-Q171)))</f>
        <v/>
      </c>
      <c r="K171" s="47" t="str">
        <f aca="false">IF(D171="","",P171-J171)</f>
        <v/>
      </c>
      <c r="L171" s="55" t="str">
        <f aca="false">IF(OR(D171="",N(K171)&lt;=0,H171=""),"",MAX(0,Setup!$C$11-H171))</f>
        <v/>
      </c>
      <c r="M171" s="54" t="str">
        <f aca="false">IF(OR(D171="",B171=""),"",IF(IFERROR(INDEX(Suppliers!$S$7:$S$106,MATCH(D171,Suppliers!$B$7:$B$106,0)),"")="","–",B171+IFERROR(INDEX(Suppliers!$S$7:$S$106,MATCH(D171,Suppliers!$B$7:$B$106,0)),"")))</f>
        <v/>
      </c>
      <c r="N171" s="56" t="str">
        <f aca="false">IF(D171="","",IF(N(K171)&lt;=0,"Paid",IF(AND(ISNUMBER(M171),Setup!$C$11&gt;M171),"⚠ MSME late",IF(N(L171)&gt;0,"Overdue",IF(N(V171)&lt;=Setup!$C$9,"⚠ MSME due soon",IF(K171&lt;E171,"Part paid","Not due"))))))</f>
        <v/>
      </c>
      <c r="O171" s="50" t="str">
        <f aca="false">IF(AND(D171="",B171="",C171="",E171=""),"",IF(D171="","⚠ Pick supplier",IF(ISNA(MATCH(D171,Suppliers!$B$7:$B$106,0)),"⚠ Supplier not in list",IF(B171="","⚠ Enter bill date",IF(N(E171)&lt;=0,"⚠ Enter amount",IF(AND(C171&lt;&gt;"",COUNTIFS($D$8:$D$507,D171,$C$8:$C$507,C171)&gt;1),"⚠ Bill no. used twice",IF(N(I171)&gt;N(E171),"⚠ Paid more than bill","✔")))))))</f>
        <v/>
      </c>
      <c r="P171" s="9" t="n">
        <f aca="false">IF(D171="",0,MAX(0,N(E171)-N(I171)))</f>
        <v>0</v>
      </c>
      <c r="Q171" s="9" t="n">
        <f aca="false">IF(D171="",0,SUMIFS($P$8:$P$507,$D$8:$D$507,D171,$B$8:$B$507,"&lt;"&amp;B171)+SUMIFS($P$8:P170,$D$8:D170,D171,$B$8:B170,B171))</f>
        <v>0</v>
      </c>
      <c r="R171" s="9" t="n">
        <f aca="false">IF(D171="",0,IFERROR(INDEX(Suppliers!$R$7:$R$106,MATCH(D171,Suppliers!$B$7:$B$106,0)),0))</f>
        <v>0</v>
      </c>
      <c r="S171" s="9" t="str">
        <f aca="false">IF(N(K171)&gt;0,IF(H171="",99999,MIN(H171,IF(ISNUMBER(M171),M171,H171)))+ROW()/100000,"")</f>
        <v/>
      </c>
      <c r="U171" s="9" t="n">
        <f aca="false">IF(N(K171)&gt;0,N(L171),0)</f>
        <v>0</v>
      </c>
      <c r="V171" s="9" t="n">
        <f aca="false">IF(AND(N(K171)&gt;0,ISNUMBER(M171)),M171-Setup!$C$11,99999)</f>
        <v>99999</v>
      </c>
    </row>
    <row r="172" customFormat="false" ht="15" hidden="false" customHeight="false" outlineLevel="0" collapsed="false">
      <c r="A172" s="40" t="str">
        <f aca="false">IF(D172="","",ROW()-7)</f>
        <v/>
      </c>
      <c r="B172" s="79"/>
      <c r="C172" s="75"/>
      <c r="D172" s="76"/>
      <c r="E172" s="80"/>
      <c r="F172" s="79"/>
      <c r="G172" s="76"/>
      <c r="H172" s="54" t="str">
        <f aca="false">IF(OR(D172="",B172=""),"",IF(F172&lt;&gt;"",F172,B172+IFERROR(INDEX(Suppliers!$Q$7:$Q$106,MATCH(D172,Suppliers!$B$7:$B$106,0)),Setup!$C$7)))</f>
        <v/>
      </c>
      <c r="I172" s="46" t="str">
        <f aca="false">IF(OR(D172="",C172=""),IF(D172="","",0),SUMIFS(Payments!$D$8:$D$507,Payments!$C$8:$C$507,D172,Payments!$F$8:$F$507,C172))</f>
        <v/>
      </c>
      <c r="J172" s="46" t="str">
        <f aca="false">IF(D172="","",MIN(P172,MAX(0,R172-Q172)))</f>
        <v/>
      </c>
      <c r="K172" s="47" t="str">
        <f aca="false">IF(D172="","",P172-J172)</f>
        <v/>
      </c>
      <c r="L172" s="55" t="str">
        <f aca="false">IF(OR(D172="",N(K172)&lt;=0,H172=""),"",MAX(0,Setup!$C$11-H172))</f>
        <v/>
      </c>
      <c r="M172" s="54" t="str">
        <f aca="false">IF(OR(D172="",B172=""),"",IF(IFERROR(INDEX(Suppliers!$S$7:$S$106,MATCH(D172,Suppliers!$B$7:$B$106,0)),"")="","–",B172+IFERROR(INDEX(Suppliers!$S$7:$S$106,MATCH(D172,Suppliers!$B$7:$B$106,0)),"")))</f>
        <v/>
      </c>
      <c r="N172" s="56" t="str">
        <f aca="false">IF(D172="","",IF(N(K172)&lt;=0,"Paid",IF(AND(ISNUMBER(M172),Setup!$C$11&gt;M172),"⚠ MSME late",IF(N(L172)&gt;0,"Overdue",IF(N(V172)&lt;=Setup!$C$9,"⚠ MSME due soon",IF(K172&lt;E172,"Part paid","Not due"))))))</f>
        <v/>
      </c>
      <c r="O172" s="50" t="str">
        <f aca="false">IF(AND(D172="",B172="",C172="",E172=""),"",IF(D172="","⚠ Pick supplier",IF(ISNA(MATCH(D172,Suppliers!$B$7:$B$106,0)),"⚠ Supplier not in list",IF(B172="","⚠ Enter bill date",IF(N(E172)&lt;=0,"⚠ Enter amount",IF(AND(C172&lt;&gt;"",COUNTIFS($D$8:$D$507,D172,$C$8:$C$507,C172)&gt;1),"⚠ Bill no. used twice",IF(N(I172)&gt;N(E172),"⚠ Paid more than bill","✔")))))))</f>
        <v/>
      </c>
      <c r="P172" s="9" t="n">
        <f aca="false">IF(D172="",0,MAX(0,N(E172)-N(I172)))</f>
        <v>0</v>
      </c>
      <c r="Q172" s="9" t="n">
        <f aca="false">IF(D172="",0,SUMIFS($P$8:$P$507,$D$8:$D$507,D172,$B$8:$B$507,"&lt;"&amp;B172)+SUMIFS($P$8:P171,$D$8:D171,D172,$B$8:B171,B172))</f>
        <v>0</v>
      </c>
      <c r="R172" s="9" t="n">
        <f aca="false">IF(D172="",0,IFERROR(INDEX(Suppliers!$R$7:$R$106,MATCH(D172,Suppliers!$B$7:$B$106,0)),0))</f>
        <v>0</v>
      </c>
      <c r="S172" s="9" t="str">
        <f aca="false">IF(N(K172)&gt;0,IF(H172="",99999,MIN(H172,IF(ISNUMBER(M172),M172,H172)))+ROW()/100000,"")</f>
        <v/>
      </c>
      <c r="U172" s="9" t="n">
        <f aca="false">IF(N(K172)&gt;0,N(L172),0)</f>
        <v>0</v>
      </c>
      <c r="V172" s="9" t="n">
        <f aca="false">IF(AND(N(K172)&gt;0,ISNUMBER(M172)),M172-Setup!$C$11,99999)</f>
        <v>99999</v>
      </c>
    </row>
    <row r="173" customFormat="false" ht="15" hidden="false" customHeight="false" outlineLevel="0" collapsed="false">
      <c r="A173" s="40" t="str">
        <f aca="false">IF(D173="","",ROW()-7)</f>
        <v/>
      </c>
      <c r="B173" s="79"/>
      <c r="C173" s="75"/>
      <c r="D173" s="76"/>
      <c r="E173" s="80"/>
      <c r="F173" s="79"/>
      <c r="G173" s="76"/>
      <c r="H173" s="54" t="str">
        <f aca="false">IF(OR(D173="",B173=""),"",IF(F173&lt;&gt;"",F173,B173+IFERROR(INDEX(Suppliers!$Q$7:$Q$106,MATCH(D173,Suppliers!$B$7:$B$106,0)),Setup!$C$7)))</f>
        <v/>
      </c>
      <c r="I173" s="46" t="str">
        <f aca="false">IF(OR(D173="",C173=""),IF(D173="","",0),SUMIFS(Payments!$D$8:$D$507,Payments!$C$8:$C$507,D173,Payments!$F$8:$F$507,C173))</f>
        <v/>
      </c>
      <c r="J173" s="46" t="str">
        <f aca="false">IF(D173="","",MIN(P173,MAX(0,R173-Q173)))</f>
        <v/>
      </c>
      <c r="K173" s="47" t="str">
        <f aca="false">IF(D173="","",P173-J173)</f>
        <v/>
      </c>
      <c r="L173" s="55" t="str">
        <f aca="false">IF(OR(D173="",N(K173)&lt;=0,H173=""),"",MAX(0,Setup!$C$11-H173))</f>
        <v/>
      </c>
      <c r="M173" s="54" t="str">
        <f aca="false">IF(OR(D173="",B173=""),"",IF(IFERROR(INDEX(Suppliers!$S$7:$S$106,MATCH(D173,Suppliers!$B$7:$B$106,0)),"")="","–",B173+IFERROR(INDEX(Suppliers!$S$7:$S$106,MATCH(D173,Suppliers!$B$7:$B$106,0)),"")))</f>
        <v/>
      </c>
      <c r="N173" s="56" t="str">
        <f aca="false">IF(D173="","",IF(N(K173)&lt;=0,"Paid",IF(AND(ISNUMBER(M173),Setup!$C$11&gt;M173),"⚠ MSME late",IF(N(L173)&gt;0,"Overdue",IF(N(V173)&lt;=Setup!$C$9,"⚠ MSME due soon",IF(K173&lt;E173,"Part paid","Not due"))))))</f>
        <v/>
      </c>
      <c r="O173" s="50" t="str">
        <f aca="false">IF(AND(D173="",B173="",C173="",E173=""),"",IF(D173="","⚠ Pick supplier",IF(ISNA(MATCH(D173,Suppliers!$B$7:$B$106,0)),"⚠ Supplier not in list",IF(B173="","⚠ Enter bill date",IF(N(E173)&lt;=0,"⚠ Enter amount",IF(AND(C173&lt;&gt;"",COUNTIFS($D$8:$D$507,D173,$C$8:$C$507,C173)&gt;1),"⚠ Bill no. used twice",IF(N(I173)&gt;N(E173),"⚠ Paid more than bill","✔")))))))</f>
        <v/>
      </c>
      <c r="P173" s="9" t="n">
        <f aca="false">IF(D173="",0,MAX(0,N(E173)-N(I173)))</f>
        <v>0</v>
      </c>
      <c r="Q173" s="9" t="n">
        <f aca="false">IF(D173="",0,SUMIFS($P$8:$P$507,$D$8:$D$507,D173,$B$8:$B$507,"&lt;"&amp;B173)+SUMIFS($P$8:P172,$D$8:D172,D173,$B$8:B172,B173))</f>
        <v>0</v>
      </c>
      <c r="R173" s="9" t="n">
        <f aca="false">IF(D173="",0,IFERROR(INDEX(Suppliers!$R$7:$R$106,MATCH(D173,Suppliers!$B$7:$B$106,0)),0))</f>
        <v>0</v>
      </c>
      <c r="S173" s="9" t="str">
        <f aca="false">IF(N(K173)&gt;0,IF(H173="",99999,MIN(H173,IF(ISNUMBER(M173),M173,H173)))+ROW()/100000,"")</f>
        <v/>
      </c>
      <c r="U173" s="9" t="n">
        <f aca="false">IF(N(K173)&gt;0,N(L173),0)</f>
        <v>0</v>
      </c>
      <c r="V173" s="9" t="n">
        <f aca="false">IF(AND(N(K173)&gt;0,ISNUMBER(M173)),M173-Setup!$C$11,99999)</f>
        <v>99999</v>
      </c>
    </row>
    <row r="174" customFormat="false" ht="15" hidden="false" customHeight="false" outlineLevel="0" collapsed="false">
      <c r="A174" s="40" t="str">
        <f aca="false">IF(D174="","",ROW()-7)</f>
        <v/>
      </c>
      <c r="B174" s="79"/>
      <c r="C174" s="75"/>
      <c r="D174" s="76"/>
      <c r="E174" s="80"/>
      <c r="F174" s="79"/>
      <c r="G174" s="76"/>
      <c r="H174" s="54" t="str">
        <f aca="false">IF(OR(D174="",B174=""),"",IF(F174&lt;&gt;"",F174,B174+IFERROR(INDEX(Suppliers!$Q$7:$Q$106,MATCH(D174,Suppliers!$B$7:$B$106,0)),Setup!$C$7)))</f>
        <v/>
      </c>
      <c r="I174" s="46" t="str">
        <f aca="false">IF(OR(D174="",C174=""),IF(D174="","",0),SUMIFS(Payments!$D$8:$D$507,Payments!$C$8:$C$507,D174,Payments!$F$8:$F$507,C174))</f>
        <v/>
      </c>
      <c r="J174" s="46" t="str">
        <f aca="false">IF(D174="","",MIN(P174,MAX(0,R174-Q174)))</f>
        <v/>
      </c>
      <c r="K174" s="47" t="str">
        <f aca="false">IF(D174="","",P174-J174)</f>
        <v/>
      </c>
      <c r="L174" s="55" t="str">
        <f aca="false">IF(OR(D174="",N(K174)&lt;=0,H174=""),"",MAX(0,Setup!$C$11-H174))</f>
        <v/>
      </c>
      <c r="M174" s="54" t="str">
        <f aca="false">IF(OR(D174="",B174=""),"",IF(IFERROR(INDEX(Suppliers!$S$7:$S$106,MATCH(D174,Suppliers!$B$7:$B$106,0)),"")="","–",B174+IFERROR(INDEX(Suppliers!$S$7:$S$106,MATCH(D174,Suppliers!$B$7:$B$106,0)),"")))</f>
        <v/>
      </c>
      <c r="N174" s="56" t="str">
        <f aca="false">IF(D174="","",IF(N(K174)&lt;=0,"Paid",IF(AND(ISNUMBER(M174),Setup!$C$11&gt;M174),"⚠ MSME late",IF(N(L174)&gt;0,"Overdue",IF(N(V174)&lt;=Setup!$C$9,"⚠ MSME due soon",IF(K174&lt;E174,"Part paid","Not due"))))))</f>
        <v/>
      </c>
      <c r="O174" s="50" t="str">
        <f aca="false">IF(AND(D174="",B174="",C174="",E174=""),"",IF(D174="","⚠ Pick supplier",IF(ISNA(MATCH(D174,Suppliers!$B$7:$B$106,0)),"⚠ Supplier not in list",IF(B174="","⚠ Enter bill date",IF(N(E174)&lt;=0,"⚠ Enter amount",IF(AND(C174&lt;&gt;"",COUNTIFS($D$8:$D$507,D174,$C$8:$C$507,C174)&gt;1),"⚠ Bill no. used twice",IF(N(I174)&gt;N(E174),"⚠ Paid more than bill","✔")))))))</f>
        <v/>
      </c>
      <c r="P174" s="9" t="n">
        <f aca="false">IF(D174="",0,MAX(0,N(E174)-N(I174)))</f>
        <v>0</v>
      </c>
      <c r="Q174" s="9" t="n">
        <f aca="false">IF(D174="",0,SUMIFS($P$8:$P$507,$D$8:$D$507,D174,$B$8:$B$507,"&lt;"&amp;B174)+SUMIFS($P$8:P173,$D$8:D173,D174,$B$8:B173,B174))</f>
        <v>0</v>
      </c>
      <c r="R174" s="9" t="n">
        <f aca="false">IF(D174="",0,IFERROR(INDEX(Suppliers!$R$7:$R$106,MATCH(D174,Suppliers!$B$7:$B$106,0)),0))</f>
        <v>0</v>
      </c>
      <c r="S174" s="9" t="str">
        <f aca="false">IF(N(K174)&gt;0,IF(H174="",99999,MIN(H174,IF(ISNUMBER(M174),M174,H174)))+ROW()/100000,"")</f>
        <v/>
      </c>
      <c r="U174" s="9" t="n">
        <f aca="false">IF(N(K174)&gt;0,N(L174),0)</f>
        <v>0</v>
      </c>
      <c r="V174" s="9" t="n">
        <f aca="false">IF(AND(N(K174)&gt;0,ISNUMBER(M174)),M174-Setup!$C$11,99999)</f>
        <v>99999</v>
      </c>
    </row>
    <row r="175" customFormat="false" ht="15" hidden="false" customHeight="false" outlineLevel="0" collapsed="false">
      <c r="A175" s="40" t="str">
        <f aca="false">IF(D175="","",ROW()-7)</f>
        <v/>
      </c>
      <c r="B175" s="79"/>
      <c r="C175" s="75"/>
      <c r="D175" s="76"/>
      <c r="E175" s="80"/>
      <c r="F175" s="79"/>
      <c r="G175" s="76"/>
      <c r="H175" s="54" t="str">
        <f aca="false">IF(OR(D175="",B175=""),"",IF(F175&lt;&gt;"",F175,B175+IFERROR(INDEX(Suppliers!$Q$7:$Q$106,MATCH(D175,Suppliers!$B$7:$B$106,0)),Setup!$C$7)))</f>
        <v/>
      </c>
      <c r="I175" s="46" t="str">
        <f aca="false">IF(OR(D175="",C175=""),IF(D175="","",0),SUMIFS(Payments!$D$8:$D$507,Payments!$C$8:$C$507,D175,Payments!$F$8:$F$507,C175))</f>
        <v/>
      </c>
      <c r="J175" s="46" t="str">
        <f aca="false">IF(D175="","",MIN(P175,MAX(0,R175-Q175)))</f>
        <v/>
      </c>
      <c r="K175" s="47" t="str">
        <f aca="false">IF(D175="","",P175-J175)</f>
        <v/>
      </c>
      <c r="L175" s="55" t="str">
        <f aca="false">IF(OR(D175="",N(K175)&lt;=0,H175=""),"",MAX(0,Setup!$C$11-H175))</f>
        <v/>
      </c>
      <c r="M175" s="54" t="str">
        <f aca="false">IF(OR(D175="",B175=""),"",IF(IFERROR(INDEX(Suppliers!$S$7:$S$106,MATCH(D175,Suppliers!$B$7:$B$106,0)),"")="","–",B175+IFERROR(INDEX(Suppliers!$S$7:$S$106,MATCH(D175,Suppliers!$B$7:$B$106,0)),"")))</f>
        <v/>
      </c>
      <c r="N175" s="56" t="str">
        <f aca="false">IF(D175="","",IF(N(K175)&lt;=0,"Paid",IF(AND(ISNUMBER(M175),Setup!$C$11&gt;M175),"⚠ MSME late",IF(N(L175)&gt;0,"Overdue",IF(N(V175)&lt;=Setup!$C$9,"⚠ MSME due soon",IF(K175&lt;E175,"Part paid","Not due"))))))</f>
        <v/>
      </c>
      <c r="O175" s="50" t="str">
        <f aca="false">IF(AND(D175="",B175="",C175="",E175=""),"",IF(D175="","⚠ Pick supplier",IF(ISNA(MATCH(D175,Suppliers!$B$7:$B$106,0)),"⚠ Supplier not in list",IF(B175="","⚠ Enter bill date",IF(N(E175)&lt;=0,"⚠ Enter amount",IF(AND(C175&lt;&gt;"",COUNTIFS($D$8:$D$507,D175,$C$8:$C$507,C175)&gt;1),"⚠ Bill no. used twice",IF(N(I175)&gt;N(E175),"⚠ Paid more than bill","✔")))))))</f>
        <v/>
      </c>
      <c r="P175" s="9" t="n">
        <f aca="false">IF(D175="",0,MAX(0,N(E175)-N(I175)))</f>
        <v>0</v>
      </c>
      <c r="Q175" s="9" t="n">
        <f aca="false">IF(D175="",0,SUMIFS($P$8:$P$507,$D$8:$D$507,D175,$B$8:$B$507,"&lt;"&amp;B175)+SUMIFS($P$8:P174,$D$8:D174,D175,$B$8:B174,B175))</f>
        <v>0</v>
      </c>
      <c r="R175" s="9" t="n">
        <f aca="false">IF(D175="",0,IFERROR(INDEX(Suppliers!$R$7:$R$106,MATCH(D175,Suppliers!$B$7:$B$106,0)),0))</f>
        <v>0</v>
      </c>
      <c r="S175" s="9" t="str">
        <f aca="false">IF(N(K175)&gt;0,IF(H175="",99999,MIN(H175,IF(ISNUMBER(M175),M175,H175)))+ROW()/100000,"")</f>
        <v/>
      </c>
      <c r="U175" s="9" t="n">
        <f aca="false">IF(N(K175)&gt;0,N(L175),0)</f>
        <v>0</v>
      </c>
      <c r="V175" s="9" t="n">
        <f aca="false">IF(AND(N(K175)&gt;0,ISNUMBER(M175)),M175-Setup!$C$11,99999)</f>
        <v>99999</v>
      </c>
    </row>
    <row r="176" customFormat="false" ht="15" hidden="false" customHeight="false" outlineLevel="0" collapsed="false">
      <c r="A176" s="40" t="str">
        <f aca="false">IF(D176="","",ROW()-7)</f>
        <v/>
      </c>
      <c r="B176" s="79"/>
      <c r="C176" s="75"/>
      <c r="D176" s="76"/>
      <c r="E176" s="80"/>
      <c r="F176" s="79"/>
      <c r="G176" s="76"/>
      <c r="H176" s="54" t="str">
        <f aca="false">IF(OR(D176="",B176=""),"",IF(F176&lt;&gt;"",F176,B176+IFERROR(INDEX(Suppliers!$Q$7:$Q$106,MATCH(D176,Suppliers!$B$7:$B$106,0)),Setup!$C$7)))</f>
        <v/>
      </c>
      <c r="I176" s="46" t="str">
        <f aca="false">IF(OR(D176="",C176=""),IF(D176="","",0),SUMIFS(Payments!$D$8:$D$507,Payments!$C$8:$C$507,D176,Payments!$F$8:$F$507,C176))</f>
        <v/>
      </c>
      <c r="J176" s="46" t="str">
        <f aca="false">IF(D176="","",MIN(P176,MAX(0,R176-Q176)))</f>
        <v/>
      </c>
      <c r="K176" s="47" t="str">
        <f aca="false">IF(D176="","",P176-J176)</f>
        <v/>
      </c>
      <c r="L176" s="55" t="str">
        <f aca="false">IF(OR(D176="",N(K176)&lt;=0,H176=""),"",MAX(0,Setup!$C$11-H176))</f>
        <v/>
      </c>
      <c r="M176" s="54" t="str">
        <f aca="false">IF(OR(D176="",B176=""),"",IF(IFERROR(INDEX(Suppliers!$S$7:$S$106,MATCH(D176,Suppliers!$B$7:$B$106,0)),"")="","–",B176+IFERROR(INDEX(Suppliers!$S$7:$S$106,MATCH(D176,Suppliers!$B$7:$B$106,0)),"")))</f>
        <v/>
      </c>
      <c r="N176" s="56" t="str">
        <f aca="false">IF(D176="","",IF(N(K176)&lt;=0,"Paid",IF(AND(ISNUMBER(M176),Setup!$C$11&gt;M176),"⚠ MSME late",IF(N(L176)&gt;0,"Overdue",IF(N(V176)&lt;=Setup!$C$9,"⚠ MSME due soon",IF(K176&lt;E176,"Part paid","Not due"))))))</f>
        <v/>
      </c>
      <c r="O176" s="50" t="str">
        <f aca="false">IF(AND(D176="",B176="",C176="",E176=""),"",IF(D176="","⚠ Pick supplier",IF(ISNA(MATCH(D176,Suppliers!$B$7:$B$106,0)),"⚠ Supplier not in list",IF(B176="","⚠ Enter bill date",IF(N(E176)&lt;=0,"⚠ Enter amount",IF(AND(C176&lt;&gt;"",COUNTIFS($D$8:$D$507,D176,$C$8:$C$507,C176)&gt;1),"⚠ Bill no. used twice",IF(N(I176)&gt;N(E176),"⚠ Paid more than bill","✔")))))))</f>
        <v/>
      </c>
      <c r="P176" s="9" t="n">
        <f aca="false">IF(D176="",0,MAX(0,N(E176)-N(I176)))</f>
        <v>0</v>
      </c>
      <c r="Q176" s="9" t="n">
        <f aca="false">IF(D176="",0,SUMIFS($P$8:$P$507,$D$8:$D$507,D176,$B$8:$B$507,"&lt;"&amp;B176)+SUMIFS($P$8:P175,$D$8:D175,D176,$B$8:B175,B176))</f>
        <v>0</v>
      </c>
      <c r="R176" s="9" t="n">
        <f aca="false">IF(D176="",0,IFERROR(INDEX(Suppliers!$R$7:$R$106,MATCH(D176,Suppliers!$B$7:$B$106,0)),0))</f>
        <v>0</v>
      </c>
      <c r="S176" s="9" t="str">
        <f aca="false">IF(N(K176)&gt;0,IF(H176="",99999,MIN(H176,IF(ISNUMBER(M176),M176,H176)))+ROW()/100000,"")</f>
        <v/>
      </c>
      <c r="U176" s="9" t="n">
        <f aca="false">IF(N(K176)&gt;0,N(L176),0)</f>
        <v>0</v>
      </c>
      <c r="V176" s="9" t="n">
        <f aca="false">IF(AND(N(K176)&gt;0,ISNUMBER(M176)),M176-Setup!$C$11,99999)</f>
        <v>99999</v>
      </c>
    </row>
    <row r="177" customFormat="false" ht="15" hidden="false" customHeight="false" outlineLevel="0" collapsed="false">
      <c r="A177" s="40" t="str">
        <f aca="false">IF(D177="","",ROW()-7)</f>
        <v/>
      </c>
      <c r="B177" s="79"/>
      <c r="C177" s="75"/>
      <c r="D177" s="76"/>
      <c r="E177" s="80"/>
      <c r="F177" s="79"/>
      <c r="G177" s="76"/>
      <c r="H177" s="54" t="str">
        <f aca="false">IF(OR(D177="",B177=""),"",IF(F177&lt;&gt;"",F177,B177+IFERROR(INDEX(Suppliers!$Q$7:$Q$106,MATCH(D177,Suppliers!$B$7:$B$106,0)),Setup!$C$7)))</f>
        <v/>
      </c>
      <c r="I177" s="46" t="str">
        <f aca="false">IF(OR(D177="",C177=""),IF(D177="","",0),SUMIFS(Payments!$D$8:$D$507,Payments!$C$8:$C$507,D177,Payments!$F$8:$F$507,C177))</f>
        <v/>
      </c>
      <c r="J177" s="46" t="str">
        <f aca="false">IF(D177="","",MIN(P177,MAX(0,R177-Q177)))</f>
        <v/>
      </c>
      <c r="K177" s="47" t="str">
        <f aca="false">IF(D177="","",P177-J177)</f>
        <v/>
      </c>
      <c r="L177" s="55" t="str">
        <f aca="false">IF(OR(D177="",N(K177)&lt;=0,H177=""),"",MAX(0,Setup!$C$11-H177))</f>
        <v/>
      </c>
      <c r="M177" s="54" t="str">
        <f aca="false">IF(OR(D177="",B177=""),"",IF(IFERROR(INDEX(Suppliers!$S$7:$S$106,MATCH(D177,Suppliers!$B$7:$B$106,0)),"")="","–",B177+IFERROR(INDEX(Suppliers!$S$7:$S$106,MATCH(D177,Suppliers!$B$7:$B$106,0)),"")))</f>
        <v/>
      </c>
      <c r="N177" s="56" t="str">
        <f aca="false">IF(D177="","",IF(N(K177)&lt;=0,"Paid",IF(AND(ISNUMBER(M177),Setup!$C$11&gt;M177),"⚠ MSME late",IF(N(L177)&gt;0,"Overdue",IF(N(V177)&lt;=Setup!$C$9,"⚠ MSME due soon",IF(K177&lt;E177,"Part paid","Not due"))))))</f>
        <v/>
      </c>
      <c r="O177" s="50" t="str">
        <f aca="false">IF(AND(D177="",B177="",C177="",E177=""),"",IF(D177="","⚠ Pick supplier",IF(ISNA(MATCH(D177,Suppliers!$B$7:$B$106,0)),"⚠ Supplier not in list",IF(B177="","⚠ Enter bill date",IF(N(E177)&lt;=0,"⚠ Enter amount",IF(AND(C177&lt;&gt;"",COUNTIFS($D$8:$D$507,D177,$C$8:$C$507,C177)&gt;1),"⚠ Bill no. used twice",IF(N(I177)&gt;N(E177),"⚠ Paid more than bill","✔")))))))</f>
        <v/>
      </c>
      <c r="P177" s="9" t="n">
        <f aca="false">IF(D177="",0,MAX(0,N(E177)-N(I177)))</f>
        <v>0</v>
      </c>
      <c r="Q177" s="9" t="n">
        <f aca="false">IF(D177="",0,SUMIFS($P$8:$P$507,$D$8:$D$507,D177,$B$8:$B$507,"&lt;"&amp;B177)+SUMIFS($P$8:P176,$D$8:D176,D177,$B$8:B176,B177))</f>
        <v>0</v>
      </c>
      <c r="R177" s="9" t="n">
        <f aca="false">IF(D177="",0,IFERROR(INDEX(Suppliers!$R$7:$R$106,MATCH(D177,Suppliers!$B$7:$B$106,0)),0))</f>
        <v>0</v>
      </c>
      <c r="S177" s="9" t="str">
        <f aca="false">IF(N(K177)&gt;0,IF(H177="",99999,MIN(H177,IF(ISNUMBER(M177),M177,H177)))+ROW()/100000,"")</f>
        <v/>
      </c>
      <c r="U177" s="9" t="n">
        <f aca="false">IF(N(K177)&gt;0,N(L177),0)</f>
        <v>0</v>
      </c>
      <c r="V177" s="9" t="n">
        <f aca="false">IF(AND(N(K177)&gt;0,ISNUMBER(M177)),M177-Setup!$C$11,99999)</f>
        <v>99999</v>
      </c>
    </row>
    <row r="178" customFormat="false" ht="15" hidden="false" customHeight="false" outlineLevel="0" collapsed="false">
      <c r="A178" s="40" t="str">
        <f aca="false">IF(D178="","",ROW()-7)</f>
        <v/>
      </c>
      <c r="B178" s="79"/>
      <c r="C178" s="75"/>
      <c r="D178" s="76"/>
      <c r="E178" s="80"/>
      <c r="F178" s="79"/>
      <c r="G178" s="76"/>
      <c r="H178" s="54" t="str">
        <f aca="false">IF(OR(D178="",B178=""),"",IF(F178&lt;&gt;"",F178,B178+IFERROR(INDEX(Suppliers!$Q$7:$Q$106,MATCH(D178,Suppliers!$B$7:$B$106,0)),Setup!$C$7)))</f>
        <v/>
      </c>
      <c r="I178" s="46" t="str">
        <f aca="false">IF(OR(D178="",C178=""),IF(D178="","",0),SUMIFS(Payments!$D$8:$D$507,Payments!$C$8:$C$507,D178,Payments!$F$8:$F$507,C178))</f>
        <v/>
      </c>
      <c r="J178" s="46" t="str">
        <f aca="false">IF(D178="","",MIN(P178,MAX(0,R178-Q178)))</f>
        <v/>
      </c>
      <c r="K178" s="47" t="str">
        <f aca="false">IF(D178="","",P178-J178)</f>
        <v/>
      </c>
      <c r="L178" s="55" t="str">
        <f aca="false">IF(OR(D178="",N(K178)&lt;=0,H178=""),"",MAX(0,Setup!$C$11-H178))</f>
        <v/>
      </c>
      <c r="M178" s="54" t="str">
        <f aca="false">IF(OR(D178="",B178=""),"",IF(IFERROR(INDEX(Suppliers!$S$7:$S$106,MATCH(D178,Suppliers!$B$7:$B$106,0)),"")="","–",B178+IFERROR(INDEX(Suppliers!$S$7:$S$106,MATCH(D178,Suppliers!$B$7:$B$106,0)),"")))</f>
        <v/>
      </c>
      <c r="N178" s="56" t="str">
        <f aca="false">IF(D178="","",IF(N(K178)&lt;=0,"Paid",IF(AND(ISNUMBER(M178),Setup!$C$11&gt;M178),"⚠ MSME late",IF(N(L178)&gt;0,"Overdue",IF(N(V178)&lt;=Setup!$C$9,"⚠ MSME due soon",IF(K178&lt;E178,"Part paid","Not due"))))))</f>
        <v/>
      </c>
      <c r="O178" s="50" t="str">
        <f aca="false">IF(AND(D178="",B178="",C178="",E178=""),"",IF(D178="","⚠ Pick supplier",IF(ISNA(MATCH(D178,Suppliers!$B$7:$B$106,0)),"⚠ Supplier not in list",IF(B178="","⚠ Enter bill date",IF(N(E178)&lt;=0,"⚠ Enter amount",IF(AND(C178&lt;&gt;"",COUNTIFS($D$8:$D$507,D178,$C$8:$C$507,C178)&gt;1),"⚠ Bill no. used twice",IF(N(I178)&gt;N(E178),"⚠ Paid more than bill","✔")))))))</f>
        <v/>
      </c>
      <c r="P178" s="9" t="n">
        <f aca="false">IF(D178="",0,MAX(0,N(E178)-N(I178)))</f>
        <v>0</v>
      </c>
      <c r="Q178" s="9" t="n">
        <f aca="false">IF(D178="",0,SUMIFS($P$8:$P$507,$D$8:$D$507,D178,$B$8:$B$507,"&lt;"&amp;B178)+SUMIFS($P$8:P177,$D$8:D177,D178,$B$8:B177,B178))</f>
        <v>0</v>
      </c>
      <c r="R178" s="9" t="n">
        <f aca="false">IF(D178="",0,IFERROR(INDEX(Suppliers!$R$7:$R$106,MATCH(D178,Suppliers!$B$7:$B$106,0)),0))</f>
        <v>0</v>
      </c>
      <c r="S178" s="9" t="str">
        <f aca="false">IF(N(K178)&gt;0,IF(H178="",99999,MIN(H178,IF(ISNUMBER(M178),M178,H178)))+ROW()/100000,"")</f>
        <v/>
      </c>
      <c r="U178" s="9" t="n">
        <f aca="false">IF(N(K178)&gt;0,N(L178),0)</f>
        <v>0</v>
      </c>
      <c r="V178" s="9" t="n">
        <f aca="false">IF(AND(N(K178)&gt;0,ISNUMBER(M178)),M178-Setup!$C$11,99999)</f>
        <v>99999</v>
      </c>
    </row>
    <row r="179" customFormat="false" ht="15" hidden="false" customHeight="false" outlineLevel="0" collapsed="false">
      <c r="A179" s="40" t="str">
        <f aca="false">IF(D179="","",ROW()-7)</f>
        <v/>
      </c>
      <c r="B179" s="79"/>
      <c r="C179" s="75"/>
      <c r="D179" s="76"/>
      <c r="E179" s="80"/>
      <c r="F179" s="79"/>
      <c r="G179" s="76"/>
      <c r="H179" s="54" t="str">
        <f aca="false">IF(OR(D179="",B179=""),"",IF(F179&lt;&gt;"",F179,B179+IFERROR(INDEX(Suppliers!$Q$7:$Q$106,MATCH(D179,Suppliers!$B$7:$B$106,0)),Setup!$C$7)))</f>
        <v/>
      </c>
      <c r="I179" s="46" t="str">
        <f aca="false">IF(OR(D179="",C179=""),IF(D179="","",0),SUMIFS(Payments!$D$8:$D$507,Payments!$C$8:$C$507,D179,Payments!$F$8:$F$507,C179))</f>
        <v/>
      </c>
      <c r="J179" s="46" t="str">
        <f aca="false">IF(D179="","",MIN(P179,MAX(0,R179-Q179)))</f>
        <v/>
      </c>
      <c r="K179" s="47" t="str">
        <f aca="false">IF(D179="","",P179-J179)</f>
        <v/>
      </c>
      <c r="L179" s="55" t="str">
        <f aca="false">IF(OR(D179="",N(K179)&lt;=0,H179=""),"",MAX(0,Setup!$C$11-H179))</f>
        <v/>
      </c>
      <c r="M179" s="54" t="str">
        <f aca="false">IF(OR(D179="",B179=""),"",IF(IFERROR(INDEX(Suppliers!$S$7:$S$106,MATCH(D179,Suppliers!$B$7:$B$106,0)),"")="","–",B179+IFERROR(INDEX(Suppliers!$S$7:$S$106,MATCH(D179,Suppliers!$B$7:$B$106,0)),"")))</f>
        <v/>
      </c>
      <c r="N179" s="56" t="str">
        <f aca="false">IF(D179="","",IF(N(K179)&lt;=0,"Paid",IF(AND(ISNUMBER(M179),Setup!$C$11&gt;M179),"⚠ MSME late",IF(N(L179)&gt;0,"Overdue",IF(N(V179)&lt;=Setup!$C$9,"⚠ MSME due soon",IF(K179&lt;E179,"Part paid","Not due"))))))</f>
        <v/>
      </c>
      <c r="O179" s="50" t="str">
        <f aca="false">IF(AND(D179="",B179="",C179="",E179=""),"",IF(D179="","⚠ Pick supplier",IF(ISNA(MATCH(D179,Suppliers!$B$7:$B$106,0)),"⚠ Supplier not in list",IF(B179="","⚠ Enter bill date",IF(N(E179)&lt;=0,"⚠ Enter amount",IF(AND(C179&lt;&gt;"",COUNTIFS($D$8:$D$507,D179,$C$8:$C$507,C179)&gt;1),"⚠ Bill no. used twice",IF(N(I179)&gt;N(E179),"⚠ Paid more than bill","✔")))))))</f>
        <v/>
      </c>
      <c r="P179" s="9" t="n">
        <f aca="false">IF(D179="",0,MAX(0,N(E179)-N(I179)))</f>
        <v>0</v>
      </c>
      <c r="Q179" s="9" t="n">
        <f aca="false">IF(D179="",0,SUMIFS($P$8:$P$507,$D$8:$D$507,D179,$B$8:$B$507,"&lt;"&amp;B179)+SUMIFS($P$8:P178,$D$8:D178,D179,$B$8:B178,B179))</f>
        <v>0</v>
      </c>
      <c r="R179" s="9" t="n">
        <f aca="false">IF(D179="",0,IFERROR(INDEX(Suppliers!$R$7:$R$106,MATCH(D179,Suppliers!$B$7:$B$106,0)),0))</f>
        <v>0</v>
      </c>
      <c r="S179" s="9" t="str">
        <f aca="false">IF(N(K179)&gt;0,IF(H179="",99999,MIN(H179,IF(ISNUMBER(M179),M179,H179)))+ROW()/100000,"")</f>
        <v/>
      </c>
      <c r="U179" s="9" t="n">
        <f aca="false">IF(N(K179)&gt;0,N(L179),0)</f>
        <v>0</v>
      </c>
      <c r="V179" s="9" t="n">
        <f aca="false">IF(AND(N(K179)&gt;0,ISNUMBER(M179)),M179-Setup!$C$11,99999)</f>
        <v>99999</v>
      </c>
    </row>
    <row r="180" customFormat="false" ht="15" hidden="false" customHeight="false" outlineLevel="0" collapsed="false">
      <c r="A180" s="40" t="str">
        <f aca="false">IF(D180="","",ROW()-7)</f>
        <v/>
      </c>
      <c r="B180" s="79"/>
      <c r="C180" s="75"/>
      <c r="D180" s="76"/>
      <c r="E180" s="80"/>
      <c r="F180" s="79"/>
      <c r="G180" s="76"/>
      <c r="H180" s="54" t="str">
        <f aca="false">IF(OR(D180="",B180=""),"",IF(F180&lt;&gt;"",F180,B180+IFERROR(INDEX(Suppliers!$Q$7:$Q$106,MATCH(D180,Suppliers!$B$7:$B$106,0)),Setup!$C$7)))</f>
        <v/>
      </c>
      <c r="I180" s="46" t="str">
        <f aca="false">IF(OR(D180="",C180=""),IF(D180="","",0),SUMIFS(Payments!$D$8:$D$507,Payments!$C$8:$C$507,D180,Payments!$F$8:$F$507,C180))</f>
        <v/>
      </c>
      <c r="J180" s="46" t="str">
        <f aca="false">IF(D180="","",MIN(P180,MAX(0,R180-Q180)))</f>
        <v/>
      </c>
      <c r="K180" s="47" t="str">
        <f aca="false">IF(D180="","",P180-J180)</f>
        <v/>
      </c>
      <c r="L180" s="55" t="str">
        <f aca="false">IF(OR(D180="",N(K180)&lt;=0,H180=""),"",MAX(0,Setup!$C$11-H180))</f>
        <v/>
      </c>
      <c r="M180" s="54" t="str">
        <f aca="false">IF(OR(D180="",B180=""),"",IF(IFERROR(INDEX(Suppliers!$S$7:$S$106,MATCH(D180,Suppliers!$B$7:$B$106,0)),"")="","–",B180+IFERROR(INDEX(Suppliers!$S$7:$S$106,MATCH(D180,Suppliers!$B$7:$B$106,0)),"")))</f>
        <v/>
      </c>
      <c r="N180" s="56" t="str">
        <f aca="false">IF(D180="","",IF(N(K180)&lt;=0,"Paid",IF(AND(ISNUMBER(M180),Setup!$C$11&gt;M180),"⚠ MSME late",IF(N(L180)&gt;0,"Overdue",IF(N(V180)&lt;=Setup!$C$9,"⚠ MSME due soon",IF(K180&lt;E180,"Part paid","Not due"))))))</f>
        <v/>
      </c>
      <c r="O180" s="50" t="str">
        <f aca="false">IF(AND(D180="",B180="",C180="",E180=""),"",IF(D180="","⚠ Pick supplier",IF(ISNA(MATCH(D180,Suppliers!$B$7:$B$106,0)),"⚠ Supplier not in list",IF(B180="","⚠ Enter bill date",IF(N(E180)&lt;=0,"⚠ Enter amount",IF(AND(C180&lt;&gt;"",COUNTIFS($D$8:$D$507,D180,$C$8:$C$507,C180)&gt;1),"⚠ Bill no. used twice",IF(N(I180)&gt;N(E180),"⚠ Paid more than bill","✔")))))))</f>
        <v/>
      </c>
      <c r="P180" s="9" t="n">
        <f aca="false">IF(D180="",0,MAX(0,N(E180)-N(I180)))</f>
        <v>0</v>
      </c>
      <c r="Q180" s="9" t="n">
        <f aca="false">IF(D180="",0,SUMIFS($P$8:$P$507,$D$8:$D$507,D180,$B$8:$B$507,"&lt;"&amp;B180)+SUMIFS($P$8:P179,$D$8:D179,D180,$B$8:B179,B180))</f>
        <v>0</v>
      </c>
      <c r="R180" s="9" t="n">
        <f aca="false">IF(D180="",0,IFERROR(INDEX(Suppliers!$R$7:$R$106,MATCH(D180,Suppliers!$B$7:$B$106,0)),0))</f>
        <v>0</v>
      </c>
      <c r="S180" s="9" t="str">
        <f aca="false">IF(N(K180)&gt;0,IF(H180="",99999,MIN(H180,IF(ISNUMBER(M180),M180,H180)))+ROW()/100000,"")</f>
        <v/>
      </c>
      <c r="U180" s="9" t="n">
        <f aca="false">IF(N(K180)&gt;0,N(L180),0)</f>
        <v>0</v>
      </c>
      <c r="V180" s="9" t="n">
        <f aca="false">IF(AND(N(K180)&gt;0,ISNUMBER(M180)),M180-Setup!$C$11,99999)</f>
        <v>99999</v>
      </c>
    </row>
    <row r="181" customFormat="false" ht="15" hidden="false" customHeight="false" outlineLevel="0" collapsed="false">
      <c r="A181" s="40" t="str">
        <f aca="false">IF(D181="","",ROW()-7)</f>
        <v/>
      </c>
      <c r="B181" s="79"/>
      <c r="C181" s="75"/>
      <c r="D181" s="76"/>
      <c r="E181" s="80"/>
      <c r="F181" s="79"/>
      <c r="G181" s="76"/>
      <c r="H181" s="54" t="str">
        <f aca="false">IF(OR(D181="",B181=""),"",IF(F181&lt;&gt;"",F181,B181+IFERROR(INDEX(Suppliers!$Q$7:$Q$106,MATCH(D181,Suppliers!$B$7:$B$106,0)),Setup!$C$7)))</f>
        <v/>
      </c>
      <c r="I181" s="46" t="str">
        <f aca="false">IF(OR(D181="",C181=""),IF(D181="","",0),SUMIFS(Payments!$D$8:$D$507,Payments!$C$8:$C$507,D181,Payments!$F$8:$F$507,C181))</f>
        <v/>
      </c>
      <c r="J181" s="46" t="str">
        <f aca="false">IF(D181="","",MIN(P181,MAX(0,R181-Q181)))</f>
        <v/>
      </c>
      <c r="K181" s="47" t="str">
        <f aca="false">IF(D181="","",P181-J181)</f>
        <v/>
      </c>
      <c r="L181" s="55" t="str">
        <f aca="false">IF(OR(D181="",N(K181)&lt;=0,H181=""),"",MAX(0,Setup!$C$11-H181))</f>
        <v/>
      </c>
      <c r="M181" s="54" t="str">
        <f aca="false">IF(OR(D181="",B181=""),"",IF(IFERROR(INDEX(Suppliers!$S$7:$S$106,MATCH(D181,Suppliers!$B$7:$B$106,0)),"")="","–",B181+IFERROR(INDEX(Suppliers!$S$7:$S$106,MATCH(D181,Suppliers!$B$7:$B$106,0)),"")))</f>
        <v/>
      </c>
      <c r="N181" s="56" t="str">
        <f aca="false">IF(D181="","",IF(N(K181)&lt;=0,"Paid",IF(AND(ISNUMBER(M181),Setup!$C$11&gt;M181),"⚠ MSME late",IF(N(L181)&gt;0,"Overdue",IF(N(V181)&lt;=Setup!$C$9,"⚠ MSME due soon",IF(K181&lt;E181,"Part paid","Not due"))))))</f>
        <v/>
      </c>
      <c r="O181" s="50" t="str">
        <f aca="false">IF(AND(D181="",B181="",C181="",E181=""),"",IF(D181="","⚠ Pick supplier",IF(ISNA(MATCH(D181,Suppliers!$B$7:$B$106,0)),"⚠ Supplier not in list",IF(B181="","⚠ Enter bill date",IF(N(E181)&lt;=0,"⚠ Enter amount",IF(AND(C181&lt;&gt;"",COUNTIFS($D$8:$D$507,D181,$C$8:$C$507,C181)&gt;1),"⚠ Bill no. used twice",IF(N(I181)&gt;N(E181),"⚠ Paid more than bill","✔")))))))</f>
        <v/>
      </c>
      <c r="P181" s="9" t="n">
        <f aca="false">IF(D181="",0,MAX(0,N(E181)-N(I181)))</f>
        <v>0</v>
      </c>
      <c r="Q181" s="9" t="n">
        <f aca="false">IF(D181="",0,SUMIFS($P$8:$P$507,$D$8:$D$507,D181,$B$8:$B$507,"&lt;"&amp;B181)+SUMIFS($P$8:P180,$D$8:D180,D181,$B$8:B180,B181))</f>
        <v>0</v>
      </c>
      <c r="R181" s="9" t="n">
        <f aca="false">IF(D181="",0,IFERROR(INDEX(Suppliers!$R$7:$R$106,MATCH(D181,Suppliers!$B$7:$B$106,0)),0))</f>
        <v>0</v>
      </c>
      <c r="S181" s="9" t="str">
        <f aca="false">IF(N(K181)&gt;0,IF(H181="",99999,MIN(H181,IF(ISNUMBER(M181),M181,H181)))+ROW()/100000,"")</f>
        <v/>
      </c>
      <c r="U181" s="9" t="n">
        <f aca="false">IF(N(K181)&gt;0,N(L181),0)</f>
        <v>0</v>
      </c>
      <c r="V181" s="9" t="n">
        <f aca="false">IF(AND(N(K181)&gt;0,ISNUMBER(M181)),M181-Setup!$C$11,99999)</f>
        <v>99999</v>
      </c>
    </row>
    <row r="182" customFormat="false" ht="15" hidden="false" customHeight="false" outlineLevel="0" collapsed="false">
      <c r="A182" s="40" t="str">
        <f aca="false">IF(D182="","",ROW()-7)</f>
        <v/>
      </c>
      <c r="B182" s="79"/>
      <c r="C182" s="75"/>
      <c r="D182" s="76"/>
      <c r="E182" s="80"/>
      <c r="F182" s="79"/>
      <c r="G182" s="76"/>
      <c r="H182" s="54" t="str">
        <f aca="false">IF(OR(D182="",B182=""),"",IF(F182&lt;&gt;"",F182,B182+IFERROR(INDEX(Suppliers!$Q$7:$Q$106,MATCH(D182,Suppliers!$B$7:$B$106,0)),Setup!$C$7)))</f>
        <v/>
      </c>
      <c r="I182" s="46" t="str">
        <f aca="false">IF(OR(D182="",C182=""),IF(D182="","",0),SUMIFS(Payments!$D$8:$D$507,Payments!$C$8:$C$507,D182,Payments!$F$8:$F$507,C182))</f>
        <v/>
      </c>
      <c r="J182" s="46" t="str">
        <f aca="false">IF(D182="","",MIN(P182,MAX(0,R182-Q182)))</f>
        <v/>
      </c>
      <c r="K182" s="47" t="str">
        <f aca="false">IF(D182="","",P182-J182)</f>
        <v/>
      </c>
      <c r="L182" s="55" t="str">
        <f aca="false">IF(OR(D182="",N(K182)&lt;=0,H182=""),"",MAX(0,Setup!$C$11-H182))</f>
        <v/>
      </c>
      <c r="M182" s="54" t="str">
        <f aca="false">IF(OR(D182="",B182=""),"",IF(IFERROR(INDEX(Suppliers!$S$7:$S$106,MATCH(D182,Suppliers!$B$7:$B$106,0)),"")="","–",B182+IFERROR(INDEX(Suppliers!$S$7:$S$106,MATCH(D182,Suppliers!$B$7:$B$106,0)),"")))</f>
        <v/>
      </c>
      <c r="N182" s="56" t="str">
        <f aca="false">IF(D182="","",IF(N(K182)&lt;=0,"Paid",IF(AND(ISNUMBER(M182),Setup!$C$11&gt;M182),"⚠ MSME late",IF(N(L182)&gt;0,"Overdue",IF(N(V182)&lt;=Setup!$C$9,"⚠ MSME due soon",IF(K182&lt;E182,"Part paid","Not due"))))))</f>
        <v/>
      </c>
      <c r="O182" s="50" t="str">
        <f aca="false">IF(AND(D182="",B182="",C182="",E182=""),"",IF(D182="","⚠ Pick supplier",IF(ISNA(MATCH(D182,Suppliers!$B$7:$B$106,0)),"⚠ Supplier not in list",IF(B182="","⚠ Enter bill date",IF(N(E182)&lt;=0,"⚠ Enter amount",IF(AND(C182&lt;&gt;"",COUNTIFS($D$8:$D$507,D182,$C$8:$C$507,C182)&gt;1),"⚠ Bill no. used twice",IF(N(I182)&gt;N(E182),"⚠ Paid more than bill","✔")))))))</f>
        <v/>
      </c>
      <c r="P182" s="9" t="n">
        <f aca="false">IF(D182="",0,MAX(0,N(E182)-N(I182)))</f>
        <v>0</v>
      </c>
      <c r="Q182" s="9" t="n">
        <f aca="false">IF(D182="",0,SUMIFS($P$8:$P$507,$D$8:$D$507,D182,$B$8:$B$507,"&lt;"&amp;B182)+SUMIFS($P$8:P181,$D$8:D181,D182,$B$8:B181,B182))</f>
        <v>0</v>
      </c>
      <c r="R182" s="9" t="n">
        <f aca="false">IF(D182="",0,IFERROR(INDEX(Suppliers!$R$7:$R$106,MATCH(D182,Suppliers!$B$7:$B$106,0)),0))</f>
        <v>0</v>
      </c>
      <c r="S182" s="9" t="str">
        <f aca="false">IF(N(K182)&gt;0,IF(H182="",99999,MIN(H182,IF(ISNUMBER(M182),M182,H182)))+ROW()/100000,"")</f>
        <v/>
      </c>
      <c r="U182" s="9" t="n">
        <f aca="false">IF(N(K182)&gt;0,N(L182),0)</f>
        <v>0</v>
      </c>
      <c r="V182" s="9" t="n">
        <f aca="false">IF(AND(N(K182)&gt;0,ISNUMBER(M182)),M182-Setup!$C$11,99999)</f>
        <v>99999</v>
      </c>
    </row>
    <row r="183" customFormat="false" ht="15" hidden="false" customHeight="false" outlineLevel="0" collapsed="false">
      <c r="A183" s="40" t="str">
        <f aca="false">IF(D183="","",ROW()-7)</f>
        <v/>
      </c>
      <c r="B183" s="79"/>
      <c r="C183" s="75"/>
      <c r="D183" s="76"/>
      <c r="E183" s="80"/>
      <c r="F183" s="79"/>
      <c r="G183" s="76"/>
      <c r="H183" s="54" t="str">
        <f aca="false">IF(OR(D183="",B183=""),"",IF(F183&lt;&gt;"",F183,B183+IFERROR(INDEX(Suppliers!$Q$7:$Q$106,MATCH(D183,Suppliers!$B$7:$B$106,0)),Setup!$C$7)))</f>
        <v/>
      </c>
      <c r="I183" s="46" t="str">
        <f aca="false">IF(OR(D183="",C183=""),IF(D183="","",0),SUMIFS(Payments!$D$8:$D$507,Payments!$C$8:$C$507,D183,Payments!$F$8:$F$507,C183))</f>
        <v/>
      </c>
      <c r="J183" s="46" t="str">
        <f aca="false">IF(D183="","",MIN(P183,MAX(0,R183-Q183)))</f>
        <v/>
      </c>
      <c r="K183" s="47" t="str">
        <f aca="false">IF(D183="","",P183-J183)</f>
        <v/>
      </c>
      <c r="L183" s="55" t="str">
        <f aca="false">IF(OR(D183="",N(K183)&lt;=0,H183=""),"",MAX(0,Setup!$C$11-H183))</f>
        <v/>
      </c>
      <c r="M183" s="54" t="str">
        <f aca="false">IF(OR(D183="",B183=""),"",IF(IFERROR(INDEX(Suppliers!$S$7:$S$106,MATCH(D183,Suppliers!$B$7:$B$106,0)),"")="","–",B183+IFERROR(INDEX(Suppliers!$S$7:$S$106,MATCH(D183,Suppliers!$B$7:$B$106,0)),"")))</f>
        <v/>
      </c>
      <c r="N183" s="56" t="str">
        <f aca="false">IF(D183="","",IF(N(K183)&lt;=0,"Paid",IF(AND(ISNUMBER(M183),Setup!$C$11&gt;M183),"⚠ MSME late",IF(N(L183)&gt;0,"Overdue",IF(N(V183)&lt;=Setup!$C$9,"⚠ MSME due soon",IF(K183&lt;E183,"Part paid","Not due"))))))</f>
        <v/>
      </c>
      <c r="O183" s="50" t="str">
        <f aca="false">IF(AND(D183="",B183="",C183="",E183=""),"",IF(D183="","⚠ Pick supplier",IF(ISNA(MATCH(D183,Suppliers!$B$7:$B$106,0)),"⚠ Supplier not in list",IF(B183="","⚠ Enter bill date",IF(N(E183)&lt;=0,"⚠ Enter amount",IF(AND(C183&lt;&gt;"",COUNTIFS($D$8:$D$507,D183,$C$8:$C$507,C183)&gt;1),"⚠ Bill no. used twice",IF(N(I183)&gt;N(E183),"⚠ Paid more than bill","✔")))))))</f>
        <v/>
      </c>
      <c r="P183" s="9" t="n">
        <f aca="false">IF(D183="",0,MAX(0,N(E183)-N(I183)))</f>
        <v>0</v>
      </c>
      <c r="Q183" s="9" t="n">
        <f aca="false">IF(D183="",0,SUMIFS($P$8:$P$507,$D$8:$D$507,D183,$B$8:$B$507,"&lt;"&amp;B183)+SUMIFS($P$8:P182,$D$8:D182,D183,$B$8:B182,B183))</f>
        <v>0</v>
      </c>
      <c r="R183" s="9" t="n">
        <f aca="false">IF(D183="",0,IFERROR(INDEX(Suppliers!$R$7:$R$106,MATCH(D183,Suppliers!$B$7:$B$106,0)),0))</f>
        <v>0</v>
      </c>
      <c r="S183" s="9" t="str">
        <f aca="false">IF(N(K183)&gt;0,IF(H183="",99999,MIN(H183,IF(ISNUMBER(M183),M183,H183)))+ROW()/100000,"")</f>
        <v/>
      </c>
      <c r="U183" s="9" t="n">
        <f aca="false">IF(N(K183)&gt;0,N(L183),0)</f>
        <v>0</v>
      </c>
      <c r="V183" s="9" t="n">
        <f aca="false">IF(AND(N(K183)&gt;0,ISNUMBER(M183)),M183-Setup!$C$11,99999)</f>
        <v>99999</v>
      </c>
    </row>
    <row r="184" customFormat="false" ht="15" hidden="false" customHeight="false" outlineLevel="0" collapsed="false">
      <c r="A184" s="40" t="str">
        <f aca="false">IF(D184="","",ROW()-7)</f>
        <v/>
      </c>
      <c r="B184" s="79"/>
      <c r="C184" s="75"/>
      <c r="D184" s="76"/>
      <c r="E184" s="80"/>
      <c r="F184" s="79"/>
      <c r="G184" s="76"/>
      <c r="H184" s="54" t="str">
        <f aca="false">IF(OR(D184="",B184=""),"",IF(F184&lt;&gt;"",F184,B184+IFERROR(INDEX(Suppliers!$Q$7:$Q$106,MATCH(D184,Suppliers!$B$7:$B$106,0)),Setup!$C$7)))</f>
        <v/>
      </c>
      <c r="I184" s="46" t="str">
        <f aca="false">IF(OR(D184="",C184=""),IF(D184="","",0),SUMIFS(Payments!$D$8:$D$507,Payments!$C$8:$C$507,D184,Payments!$F$8:$F$507,C184))</f>
        <v/>
      </c>
      <c r="J184" s="46" t="str">
        <f aca="false">IF(D184="","",MIN(P184,MAX(0,R184-Q184)))</f>
        <v/>
      </c>
      <c r="K184" s="47" t="str">
        <f aca="false">IF(D184="","",P184-J184)</f>
        <v/>
      </c>
      <c r="L184" s="55" t="str">
        <f aca="false">IF(OR(D184="",N(K184)&lt;=0,H184=""),"",MAX(0,Setup!$C$11-H184))</f>
        <v/>
      </c>
      <c r="M184" s="54" t="str">
        <f aca="false">IF(OR(D184="",B184=""),"",IF(IFERROR(INDEX(Suppliers!$S$7:$S$106,MATCH(D184,Suppliers!$B$7:$B$106,0)),"")="","–",B184+IFERROR(INDEX(Suppliers!$S$7:$S$106,MATCH(D184,Suppliers!$B$7:$B$106,0)),"")))</f>
        <v/>
      </c>
      <c r="N184" s="56" t="str">
        <f aca="false">IF(D184="","",IF(N(K184)&lt;=0,"Paid",IF(AND(ISNUMBER(M184),Setup!$C$11&gt;M184),"⚠ MSME late",IF(N(L184)&gt;0,"Overdue",IF(N(V184)&lt;=Setup!$C$9,"⚠ MSME due soon",IF(K184&lt;E184,"Part paid","Not due"))))))</f>
        <v/>
      </c>
      <c r="O184" s="50" t="str">
        <f aca="false">IF(AND(D184="",B184="",C184="",E184=""),"",IF(D184="","⚠ Pick supplier",IF(ISNA(MATCH(D184,Suppliers!$B$7:$B$106,0)),"⚠ Supplier not in list",IF(B184="","⚠ Enter bill date",IF(N(E184)&lt;=0,"⚠ Enter amount",IF(AND(C184&lt;&gt;"",COUNTIFS($D$8:$D$507,D184,$C$8:$C$507,C184)&gt;1),"⚠ Bill no. used twice",IF(N(I184)&gt;N(E184),"⚠ Paid more than bill","✔")))))))</f>
        <v/>
      </c>
      <c r="P184" s="9" t="n">
        <f aca="false">IF(D184="",0,MAX(0,N(E184)-N(I184)))</f>
        <v>0</v>
      </c>
      <c r="Q184" s="9" t="n">
        <f aca="false">IF(D184="",0,SUMIFS($P$8:$P$507,$D$8:$D$507,D184,$B$8:$B$507,"&lt;"&amp;B184)+SUMIFS($P$8:P183,$D$8:D183,D184,$B$8:B183,B184))</f>
        <v>0</v>
      </c>
      <c r="R184" s="9" t="n">
        <f aca="false">IF(D184="",0,IFERROR(INDEX(Suppliers!$R$7:$R$106,MATCH(D184,Suppliers!$B$7:$B$106,0)),0))</f>
        <v>0</v>
      </c>
      <c r="S184" s="9" t="str">
        <f aca="false">IF(N(K184)&gt;0,IF(H184="",99999,MIN(H184,IF(ISNUMBER(M184),M184,H184)))+ROW()/100000,"")</f>
        <v/>
      </c>
      <c r="U184" s="9" t="n">
        <f aca="false">IF(N(K184)&gt;0,N(L184),0)</f>
        <v>0</v>
      </c>
      <c r="V184" s="9" t="n">
        <f aca="false">IF(AND(N(K184)&gt;0,ISNUMBER(M184)),M184-Setup!$C$11,99999)</f>
        <v>99999</v>
      </c>
    </row>
    <row r="185" customFormat="false" ht="15" hidden="false" customHeight="false" outlineLevel="0" collapsed="false">
      <c r="A185" s="40" t="str">
        <f aca="false">IF(D185="","",ROW()-7)</f>
        <v/>
      </c>
      <c r="B185" s="79"/>
      <c r="C185" s="75"/>
      <c r="D185" s="76"/>
      <c r="E185" s="80"/>
      <c r="F185" s="79"/>
      <c r="G185" s="76"/>
      <c r="H185" s="54" t="str">
        <f aca="false">IF(OR(D185="",B185=""),"",IF(F185&lt;&gt;"",F185,B185+IFERROR(INDEX(Suppliers!$Q$7:$Q$106,MATCH(D185,Suppliers!$B$7:$B$106,0)),Setup!$C$7)))</f>
        <v/>
      </c>
      <c r="I185" s="46" t="str">
        <f aca="false">IF(OR(D185="",C185=""),IF(D185="","",0),SUMIFS(Payments!$D$8:$D$507,Payments!$C$8:$C$507,D185,Payments!$F$8:$F$507,C185))</f>
        <v/>
      </c>
      <c r="J185" s="46" t="str">
        <f aca="false">IF(D185="","",MIN(P185,MAX(0,R185-Q185)))</f>
        <v/>
      </c>
      <c r="K185" s="47" t="str">
        <f aca="false">IF(D185="","",P185-J185)</f>
        <v/>
      </c>
      <c r="L185" s="55" t="str">
        <f aca="false">IF(OR(D185="",N(K185)&lt;=0,H185=""),"",MAX(0,Setup!$C$11-H185))</f>
        <v/>
      </c>
      <c r="M185" s="54" t="str">
        <f aca="false">IF(OR(D185="",B185=""),"",IF(IFERROR(INDEX(Suppliers!$S$7:$S$106,MATCH(D185,Suppliers!$B$7:$B$106,0)),"")="","–",B185+IFERROR(INDEX(Suppliers!$S$7:$S$106,MATCH(D185,Suppliers!$B$7:$B$106,0)),"")))</f>
        <v/>
      </c>
      <c r="N185" s="56" t="str">
        <f aca="false">IF(D185="","",IF(N(K185)&lt;=0,"Paid",IF(AND(ISNUMBER(M185),Setup!$C$11&gt;M185),"⚠ MSME late",IF(N(L185)&gt;0,"Overdue",IF(N(V185)&lt;=Setup!$C$9,"⚠ MSME due soon",IF(K185&lt;E185,"Part paid","Not due"))))))</f>
        <v/>
      </c>
      <c r="O185" s="50" t="str">
        <f aca="false">IF(AND(D185="",B185="",C185="",E185=""),"",IF(D185="","⚠ Pick supplier",IF(ISNA(MATCH(D185,Suppliers!$B$7:$B$106,0)),"⚠ Supplier not in list",IF(B185="","⚠ Enter bill date",IF(N(E185)&lt;=0,"⚠ Enter amount",IF(AND(C185&lt;&gt;"",COUNTIFS($D$8:$D$507,D185,$C$8:$C$507,C185)&gt;1),"⚠ Bill no. used twice",IF(N(I185)&gt;N(E185),"⚠ Paid more than bill","✔")))))))</f>
        <v/>
      </c>
      <c r="P185" s="9" t="n">
        <f aca="false">IF(D185="",0,MAX(0,N(E185)-N(I185)))</f>
        <v>0</v>
      </c>
      <c r="Q185" s="9" t="n">
        <f aca="false">IF(D185="",0,SUMIFS($P$8:$P$507,$D$8:$D$507,D185,$B$8:$B$507,"&lt;"&amp;B185)+SUMIFS($P$8:P184,$D$8:D184,D185,$B$8:B184,B185))</f>
        <v>0</v>
      </c>
      <c r="R185" s="9" t="n">
        <f aca="false">IF(D185="",0,IFERROR(INDEX(Suppliers!$R$7:$R$106,MATCH(D185,Suppliers!$B$7:$B$106,0)),0))</f>
        <v>0</v>
      </c>
      <c r="S185" s="9" t="str">
        <f aca="false">IF(N(K185)&gt;0,IF(H185="",99999,MIN(H185,IF(ISNUMBER(M185),M185,H185)))+ROW()/100000,"")</f>
        <v/>
      </c>
      <c r="U185" s="9" t="n">
        <f aca="false">IF(N(K185)&gt;0,N(L185),0)</f>
        <v>0</v>
      </c>
      <c r="V185" s="9" t="n">
        <f aca="false">IF(AND(N(K185)&gt;0,ISNUMBER(M185)),M185-Setup!$C$11,99999)</f>
        <v>99999</v>
      </c>
    </row>
    <row r="186" customFormat="false" ht="15" hidden="false" customHeight="false" outlineLevel="0" collapsed="false">
      <c r="A186" s="40" t="str">
        <f aca="false">IF(D186="","",ROW()-7)</f>
        <v/>
      </c>
      <c r="B186" s="79"/>
      <c r="C186" s="75"/>
      <c r="D186" s="76"/>
      <c r="E186" s="80"/>
      <c r="F186" s="79"/>
      <c r="G186" s="76"/>
      <c r="H186" s="54" t="str">
        <f aca="false">IF(OR(D186="",B186=""),"",IF(F186&lt;&gt;"",F186,B186+IFERROR(INDEX(Suppliers!$Q$7:$Q$106,MATCH(D186,Suppliers!$B$7:$B$106,0)),Setup!$C$7)))</f>
        <v/>
      </c>
      <c r="I186" s="46" t="str">
        <f aca="false">IF(OR(D186="",C186=""),IF(D186="","",0),SUMIFS(Payments!$D$8:$D$507,Payments!$C$8:$C$507,D186,Payments!$F$8:$F$507,C186))</f>
        <v/>
      </c>
      <c r="J186" s="46" t="str">
        <f aca="false">IF(D186="","",MIN(P186,MAX(0,R186-Q186)))</f>
        <v/>
      </c>
      <c r="K186" s="47" t="str">
        <f aca="false">IF(D186="","",P186-J186)</f>
        <v/>
      </c>
      <c r="L186" s="55" t="str">
        <f aca="false">IF(OR(D186="",N(K186)&lt;=0,H186=""),"",MAX(0,Setup!$C$11-H186))</f>
        <v/>
      </c>
      <c r="M186" s="54" t="str">
        <f aca="false">IF(OR(D186="",B186=""),"",IF(IFERROR(INDEX(Suppliers!$S$7:$S$106,MATCH(D186,Suppliers!$B$7:$B$106,0)),"")="","–",B186+IFERROR(INDEX(Suppliers!$S$7:$S$106,MATCH(D186,Suppliers!$B$7:$B$106,0)),"")))</f>
        <v/>
      </c>
      <c r="N186" s="56" t="str">
        <f aca="false">IF(D186="","",IF(N(K186)&lt;=0,"Paid",IF(AND(ISNUMBER(M186),Setup!$C$11&gt;M186),"⚠ MSME late",IF(N(L186)&gt;0,"Overdue",IF(N(V186)&lt;=Setup!$C$9,"⚠ MSME due soon",IF(K186&lt;E186,"Part paid","Not due"))))))</f>
        <v/>
      </c>
      <c r="O186" s="50" t="str">
        <f aca="false">IF(AND(D186="",B186="",C186="",E186=""),"",IF(D186="","⚠ Pick supplier",IF(ISNA(MATCH(D186,Suppliers!$B$7:$B$106,0)),"⚠ Supplier not in list",IF(B186="","⚠ Enter bill date",IF(N(E186)&lt;=0,"⚠ Enter amount",IF(AND(C186&lt;&gt;"",COUNTIFS($D$8:$D$507,D186,$C$8:$C$507,C186)&gt;1),"⚠ Bill no. used twice",IF(N(I186)&gt;N(E186),"⚠ Paid more than bill","✔")))))))</f>
        <v/>
      </c>
      <c r="P186" s="9" t="n">
        <f aca="false">IF(D186="",0,MAX(0,N(E186)-N(I186)))</f>
        <v>0</v>
      </c>
      <c r="Q186" s="9" t="n">
        <f aca="false">IF(D186="",0,SUMIFS($P$8:$P$507,$D$8:$D$507,D186,$B$8:$B$507,"&lt;"&amp;B186)+SUMIFS($P$8:P185,$D$8:D185,D186,$B$8:B185,B186))</f>
        <v>0</v>
      </c>
      <c r="R186" s="9" t="n">
        <f aca="false">IF(D186="",0,IFERROR(INDEX(Suppliers!$R$7:$R$106,MATCH(D186,Suppliers!$B$7:$B$106,0)),0))</f>
        <v>0</v>
      </c>
      <c r="S186" s="9" t="str">
        <f aca="false">IF(N(K186)&gt;0,IF(H186="",99999,MIN(H186,IF(ISNUMBER(M186),M186,H186)))+ROW()/100000,"")</f>
        <v/>
      </c>
      <c r="U186" s="9" t="n">
        <f aca="false">IF(N(K186)&gt;0,N(L186),0)</f>
        <v>0</v>
      </c>
      <c r="V186" s="9" t="n">
        <f aca="false">IF(AND(N(K186)&gt;0,ISNUMBER(M186)),M186-Setup!$C$11,99999)</f>
        <v>99999</v>
      </c>
    </row>
    <row r="187" customFormat="false" ht="15" hidden="false" customHeight="false" outlineLevel="0" collapsed="false">
      <c r="A187" s="40" t="str">
        <f aca="false">IF(D187="","",ROW()-7)</f>
        <v/>
      </c>
      <c r="B187" s="79"/>
      <c r="C187" s="75"/>
      <c r="D187" s="76"/>
      <c r="E187" s="80"/>
      <c r="F187" s="79"/>
      <c r="G187" s="76"/>
      <c r="H187" s="54" t="str">
        <f aca="false">IF(OR(D187="",B187=""),"",IF(F187&lt;&gt;"",F187,B187+IFERROR(INDEX(Suppliers!$Q$7:$Q$106,MATCH(D187,Suppliers!$B$7:$B$106,0)),Setup!$C$7)))</f>
        <v/>
      </c>
      <c r="I187" s="46" t="str">
        <f aca="false">IF(OR(D187="",C187=""),IF(D187="","",0),SUMIFS(Payments!$D$8:$D$507,Payments!$C$8:$C$507,D187,Payments!$F$8:$F$507,C187))</f>
        <v/>
      </c>
      <c r="J187" s="46" t="str">
        <f aca="false">IF(D187="","",MIN(P187,MAX(0,R187-Q187)))</f>
        <v/>
      </c>
      <c r="K187" s="47" t="str">
        <f aca="false">IF(D187="","",P187-J187)</f>
        <v/>
      </c>
      <c r="L187" s="55" t="str">
        <f aca="false">IF(OR(D187="",N(K187)&lt;=0,H187=""),"",MAX(0,Setup!$C$11-H187))</f>
        <v/>
      </c>
      <c r="M187" s="54" t="str">
        <f aca="false">IF(OR(D187="",B187=""),"",IF(IFERROR(INDEX(Suppliers!$S$7:$S$106,MATCH(D187,Suppliers!$B$7:$B$106,0)),"")="","–",B187+IFERROR(INDEX(Suppliers!$S$7:$S$106,MATCH(D187,Suppliers!$B$7:$B$106,0)),"")))</f>
        <v/>
      </c>
      <c r="N187" s="56" t="str">
        <f aca="false">IF(D187="","",IF(N(K187)&lt;=0,"Paid",IF(AND(ISNUMBER(M187),Setup!$C$11&gt;M187),"⚠ MSME late",IF(N(L187)&gt;0,"Overdue",IF(N(V187)&lt;=Setup!$C$9,"⚠ MSME due soon",IF(K187&lt;E187,"Part paid","Not due"))))))</f>
        <v/>
      </c>
      <c r="O187" s="50" t="str">
        <f aca="false">IF(AND(D187="",B187="",C187="",E187=""),"",IF(D187="","⚠ Pick supplier",IF(ISNA(MATCH(D187,Suppliers!$B$7:$B$106,0)),"⚠ Supplier not in list",IF(B187="","⚠ Enter bill date",IF(N(E187)&lt;=0,"⚠ Enter amount",IF(AND(C187&lt;&gt;"",COUNTIFS($D$8:$D$507,D187,$C$8:$C$507,C187)&gt;1),"⚠ Bill no. used twice",IF(N(I187)&gt;N(E187),"⚠ Paid more than bill","✔")))))))</f>
        <v/>
      </c>
      <c r="P187" s="9" t="n">
        <f aca="false">IF(D187="",0,MAX(0,N(E187)-N(I187)))</f>
        <v>0</v>
      </c>
      <c r="Q187" s="9" t="n">
        <f aca="false">IF(D187="",0,SUMIFS($P$8:$P$507,$D$8:$D$507,D187,$B$8:$B$507,"&lt;"&amp;B187)+SUMIFS($P$8:P186,$D$8:D186,D187,$B$8:B186,B187))</f>
        <v>0</v>
      </c>
      <c r="R187" s="9" t="n">
        <f aca="false">IF(D187="",0,IFERROR(INDEX(Suppliers!$R$7:$R$106,MATCH(D187,Suppliers!$B$7:$B$106,0)),0))</f>
        <v>0</v>
      </c>
      <c r="S187" s="9" t="str">
        <f aca="false">IF(N(K187)&gt;0,IF(H187="",99999,MIN(H187,IF(ISNUMBER(M187),M187,H187)))+ROW()/100000,"")</f>
        <v/>
      </c>
      <c r="U187" s="9" t="n">
        <f aca="false">IF(N(K187)&gt;0,N(L187),0)</f>
        <v>0</v>
      </c>
      <c r="V187" s="9" t="n">
        <f aca="false">IF(AND(N(K187)&gt;0,ISNUMBER(M187)),M187-Setup!$C$11,99999)</f>
        <v>99999</v>
      </c>
    </row>
    <row r="188" customFormat="false" ht="15" hidden="false" customHeight="false" outlineLevel="0" collapsed="false">
      <c r="A188" s="40" t="str">
        <f aca="false">IF(D188="","",ROW()-7)</f>
        <v/>
      </c>
      <c r="B188" s="79"/>
      <c r="C188" s="75"/>
      <c r="D188" s="76"/>
      <c r="E188" s="80"/>
      <c r="F188" s="79"/>
      <c r="G188" s="76"/>
      <c r="H188" s="54" t="str">
        <f aca="false">IF(OR(D188="",B188=""),"",IF(F188&lt;&gt;"",F188,B188+IFERROR(INDEX(Suppliers!$Q$7:$Q$106,MATCH(D188,Suppliers!$B$7:$B$106,0)),Setup!$C$7)))</f>
        <v/>
      </c>
      <c r="I188" s="46" t="str">
        <f aca="false">IF(OR(D188="",C188=""),IF(D188="","",0),SUMIFS(Payments!$D$8:$D$507,Payments!$C$8:$C$507,D188,Payments!$F$8:$F$507,C188))</f>
        <v/>
      </c>
      <c r="J188" s="46" t="str">
        <f aca="false">IF(D188="","",MIN(P188,MAX(0,R188-Q188)))</f>
        <v/>
      </c>
      <c r="K188" s="47" t="str">
        <f aca="false">IF(D188="","",P188-J188)</f>
        <v/>
      </c>
      <c r="L188" s="55" t="str">
        <f aca="false">IF(OR(D188="",N(K188)&lt;=0,H188=""),"",MAX(0,Setup!$C$11-H188))</f>
        <v/>
      </c>
      <c r="M188" s="54" t="str">
        <f aca="false">IF(OR(D188="",B188=""),"",IF(IFERROR(INDEX(Suppliers!$S$7:$S$106,MATCH(D188,Suppliers!$B$7:$B$106,0)),"")="","–",B188+IFERROR(INDEX(Suppliers!$S$7:$S$106,MATCH(D188,Suppliers!$B$7:$B$106,0)),"")))</f>
        <v/>
      </c>
      <c r="N188" s="56" t="str">
        <f aca="false">IF(D188="","",IF(N(K188)&lt;=0,"Paid",IF(AND(ISNUMBER(M188),Setup!$C$11&gt;M188),"⚠ MSME late",IF(N(L188)&gt;0,"Overdue",IF(N(V188)&lt;=Setup!$C$9,"⚠ MSME due soon",IF(K188&lt;E188,"Part paid","Not due"))))))</f>
        <v/>
      </c>
      <c r="O188" s="50" t="str">
        <f aca="false">IF(AND(D188="",B188="",C188="",E188=""),"",IF(D188="","⚠ Pick supplier",IF(ISNA(MATCH(D188,Suppliers!$B$7:$B$106,0)),"⚠ Supplier not in list",IF(B188="","⚠ Enter bill date",IF(N(E188)&lt;=0,"⚠ Enter amount",IF(AND(C188&lt;&gt;"",COUNTIFS($D$8:$D$507,D188,$C$8:$C$507,C188)&gt;1),"⚠ Bill no. used twice",IF(N(I188)&gt;N(E188),"⚠ Paid more than bill","✔")))))))</f>
        <v/>
      </c>
      <c r="P188" s="9" t="n">
        <f aca="false">IF(D188="",0,MAX(0,N(E188)-N(I188)))</f>
        <v>0</v>
      </c>
      <c r="Q188" s="9" t="n">
        <f aca="false">IF(D188="",0,SUMIFS($P$8:$P$507,$D$8:$D$507,D188,$B$8:$B$507,"&lt;"&amp;B188)+SUMIFS($P$8:P187,$D$8:D187,D188,$B$8:B187,B188))</f>
        <v>0</v>
      </c>
      <c r="R188" s="9" t="n">
        <f aca="false">IF(D188="",0,IFERROR(INDEX(Suppliers!$R$7:$R$106,MATCH(D188,Suppliers!$B$7:$B$106,0)),0))</f>
        <v>0</v>
      </c>
      <c r="S188" s="9" t="str">
        <f aca="false">IF(N(K188)&gt;0,IF(H188="",99999,MIN(H188,IF(ISNUMBER(M188),M188,H188)))+ROW()/100000,"")</f>
        <v/>
      </c>
      <c r="U188" s="9" t="n">
        <f aca="false">IF(N(K188)&gt;0,N(L188),0)</f>
        <v>0</v>
      </c>
      <c r="V188" s="9" t="n">
        <f aca="false">IF(AND(N(K188)&gt;0,ISNUMBER(M188)),M188-Setup!$C$11,99999)</f>
        <v>99999</v>
      </c>
    </row>
    <row r="189" customFormat="false" ht="15" hidden="false" customHeight="false" outlineLevel="0" collapsed="false">
      <c r="A189" s="40" t="str">
        <f aca="false">IF(D189="","",ROW()-7)</f>
        <v/>
      </c>
      <c r="B189" s="79"/>
      <c r="C189" s="75"/>
      <c r="D189" s="76"/>
      <c r="E189" s="80"/>
      <c r="F189" s="79"/>
      <c r="G189" s="76"/>
      <c r="H189" s="54" t="str">
        <f aca="false">IF(OR(D189="",B189=""),"",IF(F189&lt;&gt;"",F189,B189+IFERROR(INDEX(Suppliers!$Q$7:$Q$106,MATCH(D189,Suppliers!$B$7:$B$106,0)),Setup!$C$7)))</f>
        <v/>
      </c>
      <c r="I189" s="46" t="str">
        <f aca="false">IF(OR(D189="",C189=""),IF(D189="","",0),SUMIFS(Payments!$D$8:$D$507,Payments!$C$8:$C$507,D189,Payments!$F$8:$F$507,C189))</f>
        <v/>
      </c>
      <c r="J189" s="46" t="str">
        <f aca="false">IF(D189="","",MIN(P189,MAX(0,R189-Q189)))</f>
        <v/>
      </c>
      <c r="K189" s="47" t="str">
        <f aca="false">IF(D189="","",P189-J189)</f>
        <v/>
      </c>
      <c r="L189" s="55" t="str">
        <f aca="false">IF(OR(D189="",N(K189)&lt;=0,H189=""),"",MAX(0,Setup!$C$11-H189))</f>
        <v/>
      </c>
      <c r="M189" s="54" t="str">
        <f aca="false">IF(OR(D189="",B189=""),"",IF(IFERROR(INDEX(Suppliers!$S$7:$S$106,MATCH(D189,Suppliers!$B$7:$B$106,0)),"")="","–",B189+IFERROR(INDEX(Suppliers!$S$7:$S$106,MATCH(D189,Suppliers!$B$7:$B$106,0)),"")))</f>
        <v/>
      </c>
      <c r="N189" s="56" t="str">
        <f aca="false">IF(D189="","",IF(N(K189)&lt;=0,"Paid",IF(AND(ISNUMBER(M189),Setup!$C$11&gt;M189),"⚠ MSME late",IF(N(L189)&gt;0,"Overdue",IF(N(V189)&lt;=Setup!$C$9,"⚠ MSME due soon",IF(K189&lt;E189,"Part paid","Not due"))))))</f>
        <v/>
      </c>
      <c r="O189" s="50" t="str">
        <f aca="false">IF(AND(D189="",B189="",C189="",E189=""),"",IF(D189="","⚠ Pick supplier",IF(ISNA(MATCH(D189,Suppliers!$B$7:$B$106,0)),"⚠ Supplier not in list",IF(B189="","⚠ Enter bill date",IF(N(E189)&lt;=0,"⚠ Enter amount",IF(AND(C189&lt;&gt;"",COUNTIFS($D$8:$D$507,D189,$C$8:$C$507,C189)&gt;1),"⚠ Bill no. used twice",IF(N(I189)&gt;N(E189),"⚠ Paid more than bill","✔")))))))</f>
        <v/>
      </c>
      <c r="P189" s="9" t="n">
        <f aca="false">IF(D189="",0,MAX(0,N(E189)-N(I189)))</f>
        <v>0</v>
      </c>
      <c r="Q189" s="9" t="n">
        <f aca="false">IF(D189="",0,SUMIFS($P$8:$P$507,$D$8:$D$507,D189,$B$8:$B$507,"&lt;"&amp;B189)+SUMIFS($P$8:P188,$D$8:D188,D189,$B$8:B188,B189))</f>
        <v>0</v>
      </c>
      <c r="R189" s="9" t="n">
        <f aca="false">IF(D189="",0,IFERROR(INDEX(Suppliers!$R$7:$R$106,MATCH(D189,Suppliers!$B$7:$B$106,0)),0))</f>
        <v>0</v>
      </c>
      <c r="S189" s="9" t="str">
        <f aca="false">IF(N(K189)&gt;0,IF(H189="",99999,MIN(H189,IF(ISNUMBER(M189),M189,H189)))+ROW()/100000,"")</f>
        <v/>
      </c>
      <c r="U189" s="9" t="n">
        <f aca="false">IF(N(K189)&gt;0,N(L189),0)</f>
        <v>0</v>
      </c>
      <c r="V189" s="9" t="n">
        <f aca="false">IF(AND(N(K189)&gt;0,ISNUMBER(M189)),M189-Setup!$C$11,99999)</f>
        <v>99999</v>
      </c>
    </row>
    <row r="190" customFormat="false" ht="15" hidden="false" customHeight="false" outlineLevel="0" collapsed="false">
      <c r="A190" s="40" t="str">
        <f aca="false">IF(D190="","",ROW()-7)</f>
        <v/>
      </c>
      <c r="B190" s="79"/>
      <c r="C190" s="75"/>
      <c r="D190" s="76"/>
      <c r="E190" s="80"/>
      <c r="F190" s="79"/>
      <c r="G190" s="76"/>
      <c r="H190" s="54" t="str">
        <f aca="false">IF(OR(D190="",B190=""),"",IF(F190&lt;&gt;"",F190,B190+IFERROR(INDEX(Suppliers!$Q$7:$Q$106,MATCH(D190,Suppliers!$B$7:$B$106,0)),Setup!$C$7)))</f>
        <v/>
      </c>
      <c r="I190" s="46" t="str">
        <f aca="false">IF(OR(D190="",C190=""),IF(D190="","",0),SUMIFS(Payments!$D$8:$D$507,Payments!$C$8:$C$507,D190,Payments!$F$8:$F$507,C190))</f>
        <v/>
      </c>
      <c r="J190" s="46" t="str">
        <f aca="false">IF(D190="","",MIN(P190,MAX(0,R190-Q190)))</f>
        <v/>
      </c>
      <c r="K190" s="47" t="str">
        <f aca="false">IF(D190="","",P190-J190)</f>
        <v/>
      </c>
      <c r="L190" s="55" t="str">
        <f aca="false">IF(OR(D190="",N(K190)&lt;=0,H190=""),"",MAX(0,Setup!$C$11-H190))</f>
        <v/>
      </c>
      <c r="M190" s="54" t="str">
        <f aca="false">IF(OR(D190="",B190=""),"",IF(IFERROR(INDEX(Suppliers!$S$7:$S$106,MATCH(D190,Suppliers!$B$7:$B$106,0)),"")="","–",B190+IFERROR(INDEX(Suppliers!$S$7:$S$106,MATCH(D190,Suppliers!$B$7:$B$106,0)),"")))</f>
        <v/>
      </c>
      <c r="N190" s="56" t="str">
        <f aca="false">IF(D190="","",IF(N(K190)&lt;=0,"Paid",IF(AND(ISNUMBER(M190),Setup!$C$11&gt;M190),"⚠ MSME late",IF(N(L190)&gt;0,"Overdue",IF(N(V190)&lt;=Setup!$C$9,"⚠ MSME due soon",IF(K190&lt;E190,"Part paid","Not due"))))))</f>
        <v/>
      </c>
      <c r="O190" s="50" t="str">
        <f aca="false">IF(AND(D190="",B190="",C190="",E190=""),"",IF(D190="","⚠ Pick supplier",IF(ISNA(MATCH(D190,Suppliers!$B$7:$B$106,0)),"⚠ Supplier not in list",IF(B190="","⚠ Enter bill date",IF(N(E190)&lt;=0,"⚠ Enter amount",IF(AND(C190&lt;&gt;"",COUNTIFS($D$8:$D$507,D190,$C$8:$C$507,C190)&gt;1),"⚠ Bill no. used twice",IF(N(I190)&gt;N(E190),"⚠ Paid more than bill","✔")))))))</f>
        <v/>
      </c>
      <c r="P190" s="9" t="n">
        <f aca="false">IF(D190="",0,MAX(0,N(E190)-N(I190)))</f>
        <v>0</v>
      </c>
      <c r="Q190" s="9" t="n">
        <f aca="false">IF(D190="",0,SUMIFS($P$8:$P$507,$D$8:$D$507,D190,$B$8:$B$507,"&lt;"&amp;B190)+SUMIFS($P$8:P189,$D$8:D189,D190,$B$8:B189,B190))</f>
        <v>0</v>
      </c>
      <c r="R190" s="9" t="n">
        <f aca="false">IF(D190="",0,IFERROR(INDEX(Suppliers!$R$7:$R$106,MATCH(D190,Suppliers!$B$7:$B$106,0)),0))</f>
        <v>0</v>
      </c>
      <c r="S190" s="9" t="str">
        <f aca="false">IF(N(K190)&gt;0,IF(H190="",99999,MIN(H190,IF(ISNUMBER(M190),M190,H190)))+ROW()/100000,"")</f>
        <v/>
      </c>
      <c r="U190" s="9" t="n">
        <f aca="false">IF(N(K190)&gt;0,N(L190),0)</f>
        <v>0</v>
      </c>
      <c r="V190" s="9" t="n">
        <f aca="false">IF(AND(N(K190)&gt;0,ISNUMBER(M190)),M190-Setup!$C$11,99999)</f>
        <v>99999</v>
      </c>
    </row>
    <row r="191" customFormat="false" ht="15" hidden="false" customHeight="false" outlineLevel="0" collapsed="false">
      <c r="A191" s="40" t="str">
        <f aca="false">IF(D191="","",ROW()-7)</f>
        <v/>
      </c>
      <c r="B191" s="79"/>
      <c r="C191" s="75"/>
      <c r="D191" s="76"/>
      <c r="E191" s="80"/>
      <c r="F191" s="79"/>
      <c r="G191" s="76"/>
      <c r="H191" s="54" t="str">
        <f aca="false">IF(OR(D191="",B191=""),"",IF(F191&lt;&gt;"",F191,B191+IFERROR(INDEX(Suppliers!$Q$7:$Q$106,MATCH(D191,Suppliers!$B$7:$B$106,0)),Setup!$C$7)))</f>
        <v/>
      </c>
      <c r="I191" s="46" t="str">
        <f aca="false">IF(OR(D191="",C191=""),IF(D191="","",0),SUMIFS(Payments!$D$8:$D$507,Payments!$C$8:$C$507,D191,Payments!$F$8:$F$507,C191))</f>
        <v/>
      </c>
      <c r="J191" s="46" t="str">
        <f aca="false">IF(D191="","",MIN(P191,MAX(0,R191-Q191)))</f>
        <v/>
      </c>
      <c r="K191" s="47" t="str">
        <f aca="false">IF(D191="","",P191-J191)</f>
        <v/>
      </c>
      <c r="L191" s="55" t="str">
        <f aca="false">IF(OR(D191="",N(K191)&lt;=0,H191=""),"",MAX(0,Setup!$C$11-H191))</f>
        <v/>
      </c>
      <c r="M191" s="54" t="str">
        <f aca="false">IF(OR(D191="",B191=""),"",IF(IFERROR(INDEX(Suppliers!$S$7:$S$106,MATCH(D191,Suppliers!$B$7:$B$106,0)),"")="","–",B191+IFERROR(INDEX(Suppliers!$S$7:$S$106,MATCH(D191,Suppliers!$B$7:$B$106,0)),"")))</f>
        <v/>
      </c>
      <c r="N191" s="56" t="str">
        <f aca="false">IF(D191="","",IF(N(K191)&lt;=0,"Paid",IF(AND(ISNUMBER(M191),Setup!$C$11&gt;M191),"⚠ MSME late",IF(N(L191)&gt;0,"Overdue",IF(N(V191)&lt;=Setup!$C$9,"⚠ MSME due soon",IF(K191&lt;E191,"Part paid","Not due"))))))</f>
        <v/>
      </c>
      <c r="O191" s="50" t="str">
        <f aca="false">IF(AND(D191="",B191="",C191="",E191=""),"",IF(D191="","⚠ Pick supplier",IF(ISNA(MATCH(D191,Suppliers!$B$7:$B$106,0)),"⚠ Supplier not in list",IF(B191="","⚠ Enter bill date",IF(N(E191)&lt;=0,"⚠ Enter amount",IF(AND(C191&lt;&gt;"",COUNTIFS($D$8:$D$507,D191,$C$8:$C$507,C191)&gt;1),"⚠ Bill no. used twice",IF(N(I191)&gt;N(E191),"⚠ Paid more than bill","✔")))))))</f>
        <v/>
      </c>
      <c r="P191" s="9" t="n">
        <f aca="false">IF(D191="",0,MAX(0,N(E191)-N(I191)))</f>
        <v>0</v>
      </c>
      <c r="Q191" s="9" t="n">
        <f aca="false">IF(D191="",0,SUMIFS($P$8:$P$507,$D$8:$D$507,D191,$B$8:$B$507,"&lt;"&amp;B191)+SUMIFS($P$8:P190,$D$8:D190,D191,$B$8:B190,B191))</f>
        <v>0</v>
      </c>
      <c r="R191" s="9" t="n">
        <f aca="false">IF(D191="",0,IFERROR(INDEX(Suppliers!$R$7:$R$106,MATCH(D191,Suppliers!$B$7:$B$106,0)),0))</f>
        <v>0</v>
      </c>
      <c r="S191" s="9" t="str">
        <f aca="false">IF(N(K191)&gt;0,IF(H191="",99999,MIN(H191,IF(ISNUMBER(M191),M191,H191)))+ROW()/100000,"")</f>
        <v/>
      </c>
      <c r="U191" s="9" t="n">
        <f aca="false">IF(N(K191)&gt;0,N(L191),0)</f>
        <v>0</v>
      </c>
      <c r="V191" s="9" t="n">
        <f aca="false">IF(AND(N(K191)&gt;0,ISNUMBER(M191)),M191-Setup!$C$11,99999)</f>
        <v>99999</v>
      </c>
    </row>
    <row r="192" customFormat="false" ht="15" hidden="false" customHeight="false" outlineLevel="0" collapsed="false">
      <c r="A192" s="40" t="str">
        <f aca="false">IF(D192="","",ROW()-7)</f>
        <v/>
      </c>
      <c r="B192" s="79"/>
      <c r="C192" s="75"/>
      <c r="D192" s="76"/>
      <c r="E192" s="80"/>
      <c r="F192" s="79"/>
      <c r="G192" s="76"/>
      <c r="H192" s="54" t="str">
        <f aca="false">IF(OR(D192="",B192=""),"",IF(F192&lt;&gt;"",F192,B192+IFERROR(INDEX(Suppliers!$Q$7:$Q$106,MATCH(D192,Suppliers!$B$7:$B$106,0)),Setup!$C$7)))</f>
        <v/>
      </c>
      <c r="I192" s="46" t="str">
        <f aca="false">IF(OR(D192="",C192=""),IF(D192="","",0),SUMIFS(Payments!$D$8:$D$507,Payments!$C$8:$C$507,D192,Payments!$F$8:$F$507,C192))</f>
        <v/>
      </c>
      <c r="J192" s="46" t="str">
        <f aca="false">IF(D192="","",MIN(P192,MAX(0,R192-Q192)))</f>
        <v/>
      </c>
      <c r="K192" s="47" t="str">
        <f aca="false">IF(D192="","",P192-J192)</f>
        <v/>
      </c>
      <c r="L192" s="55" t="str">
        <f aca="false">IF(OR(D192="",N(K192)&lt;=0,H192=""),"",MAX(0,Setup!$C$11-H192))</f>
        <v/>
      </c>
      <c r="M192" s="54" t="str">
        <f aca="false">IF(OR(D192="",B192=""),"",IF(IFERROR(INDEX(Suppliers!$S$7:$S$106,MATCH(D192,Suppliers!$B$7:$B$106,0)),"")="","–",B192+IFERROR(INDEX(Suppliers!$S$7:$S$106,MATCH(D192,Suppliers!$B$7:$B$106,0)),"")))</f>
        <v/>
      </c>
      <c r="N192" s="56" t="str">
        <f aca="false">IF(D192="","",IF(N(K192)&lt;=0,"Paid",IF(AND(ISNUMBER(M192),Setup!$C$11&gt;M192),"⚠ MSME late",IF(N(L192)&gt;0,"Overdue",IF(N(V192)&lt;=Setup!$C$9,"⚠ MSME due soon",IF(K192&lt;E192,"Part paid","Not due"))))))</f>
        <v/>
      </c>
      <c r="O192" s="50" t="str">
        <f aca="false">IF(AND(D192="",B192="",C192="",E192=""),"",IF(D192="","⚠ Pick supplier",IF(ISNA(MATCH(D192,Suppliers!$B$7:$B$106,0)),"⚠ Supplier not in list",IF(B192="","⚠ Enter bill date",IF(N(E192)&lt;=0,"⚠ Enter amount",IF(AND(C192&lt;&gt;"",COUNTIFS($D$8:$D$507,D192,$C$8:$C$507,C192)&gt;1),"⚠ Bill no. used twice",IF(N(I192)&gt;N(E192),"⚠ Paid more than bill","✔")))))))</f>
        <v/>
      </c>
      <c r="P192" s="9" t="n">
        <f aca="false">IF(D192="",0,MAX(0,N(E192)-N(I192)))</f>
        <v>0</v>
      </c>
      <c r="Q192" s="9" t="n">
        <f aca="false">IF(D192="",0,SUMIFS($P$8:$P$507,$D$8:$D$507,D192,$B$8:$B$507,"&lt;"&amp;B192)+SUMIFS($P$8:P191,$D$8:D191,D192,$B$8:B191,B192))</f>
        <v>0</v>
      </c>
      <c r="R192" s="9" t="n">
        <f aca="false">IF(D192="",0,IFERROR(INDEX(Suppliers!$R$7:$R$106,MATCH(D192,Suppliers!$B$7:$B$106,0)),0))</f>
        <v>0</v>
      </c>
      <c r="S192" s="9" t="str">
        <f aca="false">IF(N(K192)&gt;0,IF(H192="",99999,MIN(H192,IF(ISNUMBER(M192),M192,H192)))+ROW()/100000,"")</f>
        <v/>
      </c>
      <c r="U192" s="9" t="n">
        <f aca="false">IF(N(K192)&gt;0,N(L192),0)</f>
        <v>0</v>
      </c>
      <c r="V192" s="9" t="n">
        <f aca="false">IF(AND(N(K192)&gt;0,ISNUMBER(M192)),M192-Setup!$C$11,99999)</f>
        <v>99999</v>
      </c>
    </row>
    <row r="193" customFormat="false" ht="15" hidden="false" customHeight="false" outlineLevel="0" collapsed="false">
      <c r="A193" s="40" t="str">
        <f aca="false">IF(D193="","",ROW()-7)</f>
        <v/>
      </c>
      <c r="B193" s="79"/>
      <c r="C193" s="75"/>
      <c r="D193" s="76"/>
      <c r="E193" s="80"/>
      <c r="F193" s="79"/>
      <c r="G193" s="76"/>
      <c r="H193" s="54" t="str">
        <f aca="false">IF(OR(D193="",B193=""),"",IF(F193&lt;&gt;"",F193,B193+IFERROR(INDEX(Suppliers!$Q$7:$Q$106,MATCH(D193,Suppliers!$B$7:$B$106,0)),Setup!$C$7)))</f>
        <v/>
      </c>
      <c r="I193" s="46" t="str">
        <f aca="false">IF(OR(D193="",C193=""),IF(D193="","",0),SUMIFS(Payments!$D$8:$D$507,Payments!$C$8:$C$507,D193,Payments!$F$8:$F$507,C193))</f>
        <v/>
      </c>
      <c r="J193" s="46" t="str">
        <f aca="false">IF(D193="","",MIN(P193,MAX(0,R193-Q193)))</f>
        <v/>
      </c>
      <c r="K193" s="47" t="str">
        <f aca="false">IF(D193="","",P193-J193)</f>
        <v/>
      </c>
      <c r="L193" s="55" t="str">
        <f aca="false">IF(OR(D193="",N(K193)&lt;=0,H193=""),"",MAX(0,Setup!$C$11-H193))</f>
        <v/>
      </c>
      <c r="M193" s="54" t="str">
        <f aca="false">IF(OR(D193="",B193=""),"",IF(IFERROR(INDEX(Suppliers!$S$7:$S$106,MATCH(D193,Suppliers!$B$7:$B$106,0)),"")="","–",B193+IFERROR(INDEX(Suppliers!$S$7:$S$106,MATCH(D193,Suppliers!$B$7:$B$106,0)),"")))</f>
        <v/>
      </c>
      <c r="N193" s="56" t="str">
        <f aca="false">IF(D193="","",IF(N(K193)&lt;=0,"Paid",IF(AND(ISNUMBER(M193),Setup!$C$11&gt;M193),"⚠ MSME late",IF(N(L193)&gt;0,"Overdue",IF(N(V193)&lt;=Setup!$C$9,"⚠ MSME due soon",IF(K193&lt;E193,"Part paid","Not due"))))))</f>
        <v/>
      </c>
      <c r="O193" s="50" t="str">
        <f aca="false">IF(AND(D193="",B193="",C193="",E193=""),"",IF(D193="","⚠ Pick supplier",IF(ISNA(MATCH(D193,Suppliers!$B$7:$B$106,0)),"⚠ Supplier not in list",IF(B193="","⚠ Enter bill date",IF(N(E193)&lt;=0,"⚠ Enter amount",IF(AND(C193&lt;&gt;"",COUNTIFS($D$8:$D$507,D193,$C$8:$C$507,C193)&gt;1),"⚠ Bill no. used twice",IF(N(I193)&gt;N(E193),"⚠ Paid more than bill","✔")))))))</f>
        <v/>
      </c>
      <c r="P193" s="9" t="n">
        <f aca="false">IF(D193="",0,MAX(0,N(E193)-N(I193)))</f>
        <v>0</v>
      </c>
      <c r="Q193" s="9" t="n">
        <f aca="false">IF(D193="",0,SUMIFS($P$8:$P$507,$D$8:$D$507,D193,$B$8:$B$507,"&lt;"&amp;B193)+SUMIFS($P$8:P192,$D$8:D192,D193,$B$8:B192,B193))</f>
        <v>0</v>
      </c>
      <c r="R193" s="9" t="n">
        <f aca="false">IF(D193="",0,IFERROR(INDEX(Suppliers!$R$7:$R$106,MATCH(D193,Suppliers!$B$7:$B$106,0)),0))</f>
        <v>0</v>
      </c>
      <c r="S193" s="9" t="str">
        <f aca="false">IF(N(K193)&gt;0,IF(H193="",99999,MIN(H193,IF(ISNUMBER(M193),M193,H193)))+ROW()/100000,"")</f>
        <v/>
      </c>
      <c r="U193" s="9" t="n">
        <f aca="false">IF(N(K193)&gt;0,N(L193),0)</f>
        <v>0</v>
      </c>
      <c r="V193" s="9" t="n">
        <f aca="false">IF(AND(N(K193)&gt;0,ISNUMBER(M193)),M193-Setup!$C$11,99999)</f>
        <v>99999</v>
      </c>
    </row>
    <row r="194" customFormat="false" ht="15" hidden="false" customHeight="false" outlineLevel="0" collapsed="false">
      <c r="A194" s="40" t="str">
        <f aca="false">IF(D194="","",ROW()-7)</f>
        <v/>
      </c>
      <c r="B194" s="79"/>
      <c r="C194" s="75"/>
      <c r="D194" s="76"/>
      <c r="E194" s="80"/>
      <c r="F194" s="79"/>
      <c r="G194" s="76"/>
      <c r="H194" s="54" t="str">
        <f aca="false">IF(OR(D194="",B194=""),"",IF(F194&lt;&gt;"",F194,B194+IFERROR(INDEX(Suppliers!$Q$7:$Q$106,MATCH(D194,Suppliers!$B$7:$B$106,0)),Setup!$C$7)))</f>
        <v/>
      </c>
      <c r="I194" s="46" t="str">
        <f aca="false">IF(OR(D194="",C194=""),IF(D194="","",0),SUMIFS(Payments!$D$8:$D$507,Payments!$C$8:$C$507,D194,Payments!$F$8:$F$507,C194))</f>
        <v/>
      </c>
      <c r="J194" s="46" t="str">
        <f aca="false">IF(D194="","",MIN(P194,MAX(0,R194-Q194)))</f>
        <v/>
      </c>
      <c r="K194" s="47" t="str">
        <f aca="false">IF(D194="","",P194-J194)</f>
        <v/>
      </c>
      <c r="L194" s="55" t="str">
        <f aca="false">IF(OR(D194="",N(K194)&lt;=0,H194=""),"",MAX(0,Setup!$C$11-H194))</f>
        <v/>
      </c>
      <c r="M194" s="54" t="str">
        <f aca="false">IF(OR(D194="",B194=""),"",IF(IFERROR(INDEX(Suppliers!$S$7:$S$106,MATCH(D194,Suppliers!$B$7:$B$106,0)),"")="","–",B194+IFERROR(INDEX(Suppliers!$S$7:$S$106,MATCH(D194,Suppliers!$B$7:$B$106,0)),"")))</f>
        <v/>
      </c>
      <c r="N194" s="56" t="str">
        <f aca="false">IF(D194="","",IF(N(K194)&lt;=0,"Paid",IF(AND(ISNUMBER(M194),Setup!$C$11&gt;M194),"⚠ MSME late",IF(N(L194)&gt;0,"Overdue",IF(N(V194)&lt;=Setup!$C$9,"⚠ MSME due soon",IF(K194&lt;E194,"Part paid","Not due"))))))</f>
        <v/>
      </c>
      <c r="O194" s="50" t="str">
        <f aca="false">IF(AND(D194="",B194="",C194="",E194=""),"",IF(D194="","⚠ Pick supplier",IF(ISNA(MATCH(D194,Suppliers!$B$7:$B$106,0)),"⚠ Supplier not in list",IF(B194="","⚠ Enter bill date",IF(N(E194)&lt;=0,"⚠ Enter amount",IF(AND(C194&lt;&gt;"",COUNTIFS($D$8:$D$507,D194,$C$8:$C$507,C194)&gt;1),"⚠ Bill no. used twice",IF(N(I194)&gt;N(E194),"⚠ Paid more than bill","✔")))))))</f>
        <v/>
      </c>
      <c r="P194" s="9" t="n">
        <f aca="false">IF(D194="",0,MAX(0,N(E194)-N(I194)))</f>
        <v>0</v>
      </c>
      <c r="Q194" s="9" t="n">
        <f aca="false">IF(D194="",0,SUMIFS($P$8:$P$507,$D$8:$D$507,D194,$B$8:$B$507,"&lt;"&amp;B194)+SUMIFS($P$8:P193,$D$8:D193,D194,$B$8:B193,B194))</f>
        <v>0</v>
      </c>
      <c r="R194" s="9" t="n">
        <f aca="false">IF(D194="",0,IFERROR(INDEX(Suppliers!$R$7:$R$106,MATCH(D194,Suppliers!$B$7:$B$106,0)),0))</f>
        <v>0</v>
      </c>
      <c r="S194" s="9" t="str">
        <f aca="false">IF(N(K194)&gt;0,IF(H194="",99999,MIN(H194,IF(ISNUMBER(M194),M194,H194)))+ROW()/100000,"")</f>
        <v/>
      </c>
      <c r="U194" s="9" t="n">
        <f aca="false">IF(N(K194)&gt;0,N(L194),0)</f>
        <v>0</v>
      </c>
      <c r="V194" s="9" t="n">
        <f aca="false">IF(AND(N(K194)&gt;0,ISNUMBER(M194)),M194-Setup!$C$11,99999)</f>
        <v>99999</v>
      </c>
    </row>
    <row r="195" customFormat="false" ht="15" hidden="false" customHeight="false" outlineLevel="0" collapsed="false">
      <c r="A195" s="40" t="str">
        <f aca="false">IF(D195="","",ROW()-7)</f>
        <v/>
      </c>
      <c r="B195" s="79"/>
      <c r="C195" s="75"/>
      <c r="D195" s="76"/>
      <c r="E195" s="80"/>
      <c r="F195" s="79"/>
      <c r="G195" s="76"/>
      <c r="H195" s="54" t="str">
        <f aca="false">IF(OR(D195="",B195=""),"",IF(F195&lt;&gt;"",F195,B195+IFERROR(INDEX(Suppliers!$Q$7:$Q$106,MATCH(D195,Suppliers!$B$7:$B$106,0)),Setup!$C$7)))</f>
        <v/>
      </c>
      <c r="I195" s="46" t="str">
        <f aca="false">IF(OR(D195="",C195=""),IF(D195="","",0),SUMIFS(Payments!$D$8:$D$507,Payments!$C$8:$C$507,D195,Payments!$F$8:$F$507,C195))</f>
        <v/>
      </c>
      <c r="J195" s="46" t="str">
        <f aca="false">IF(D195="","",MIN(P195,MAX(0,R195-Q195)))</f>
        <v/>
      </c>
      <c r="K195" s="47" t="str">
        <f aca="false">IF(D195="","",P195-J195)</f>
        <v/>
      </c>
      <c r="L195" s="55" t="str">
        <f aca="false">IF(OR(D195="",N(K195)&lt;=0,H195=""),"",MAX(0,Setup!$C$11-H195))</f>
        <v/>
      </c>
      <c r="M195" s="54" t="str">
        <f aca="false">IF(OR(D195="",B195=""),"",IF(IFERROR(INDEX(Suppliers!$S$7:$S$106,MATCH(D195,Suppliers!$B$7:$B$106,0)),"")="","–",B195+IFERROR(INDEX(Suppliers!$S$7:$S$106,MATCH(D195,Suppliers!$B$7:$B$106,0)),"")))</f>
        <v/>
      </c>
      <c r="N195" s="56" t="str">
        <f aca="false">IF(D195="","",IF(N(K195)&lt;=0,"Paid",IF(AND(ISNUMBER(M195),Setup!$C$11&gt;M195),"⚠ MSME late",IF(N(L195)&gt;0,"Overdue",IF(N(V195)&lt;=Setup!$C$9,"⚠ MSME due soon",IF(K195&lt;E195,"Part paid","Not due"))))))</f>
        <v/>
      </c>
      <c r="O195" s="50" t="str">
        <f aca="false">IF(AND(D195="",B195="",C195="",E195=""),"",IF(D195="","⚠ Pick supplier",IF(ISNA(MATCH(D195,Suppliers!$B$7:$B$106,0)),"⚠ Supplier not in list",IF(B195="","⚠ Enter bill date",IF(N(E195)&lt;=0,"⚠ Enter amount",IF(AND(C195&lt;&gt;"",COUNTIFS($D$8:$D$507,D195,$C$8:$C$507,C195)&gt;1),"⚠ Bill no. used twice",IF(N(I195)&gt;N(E195),"⚠ Paid more than bill","✔")))))))</f>
        <v/>
      </c>
      <c r="P195" s="9" t="n">
        <f aca="false">IF(D195="",0,MAX(0,N(E195)-N(I195)))</f>
        <v>0</v>
      </c>
      <c r="Q195" s="9" t="n">
        <f aca="false">IF(D195="",0,SUMIFS($P$8:$P$507,$D$8:$D$507,D195,$B$8:$B$507,"&lt;"&amp;B195)+SUMIFS($P$8:P194,$D$8:D194,D195,$B$8:B194,B195))</f>
        <v>0</v>
      </c>
      <c r="R195" s="9" t="n">
        <f aca="false">IF(D195="",0,IFERROR(INDEX(Suppliers!$R$7:$R$106,MATCH(D195,Suppliers!$B$7:$B$106,0)),0))</f>
        <v>0</v>
      </c>
      <c r="S195" s="9" t="str">
        <f aca="false">IF(N(K195)&gt;0,IF(H195="",99999,MIN(H195,IF(ISNUMBER(M195),M195,H195)))+ROW()/100000,"")</f>
        <v/>
      </c>
      <c r="U195" s="9" t="n">
        <f aca="false">IF(N(K195)&gt;0,N(L195),0)</f>
        <v>0</v>
      </c>
      <c r="V195" s="9" t="n">
        <f aca="false">IF(AND(N(K195)&gt;0,ISNUMBER(M195)),M195-Setup!$C$11,99999)</f>
        <v>99999</v>
      </c>
    </row>
    <row r="196" customFormat="false" ht="15" hidden="false" customHeight="false" outlineLevel="0" collapsed="false">
      <c r="A196" s="40" t="str">
        <f aca="false">IF(D196="","",ROW()-7)</f>
        <v/>
      </c>
      <c r="B196" s="79"/>
      <c r="C196" s="75"/>
      <c r="D196" s="76"/>
      <c r="E196" s="80"/>
      <c r="F196" s="79"/>
      <c r="G196" s="76"/>
      <c r="H196" s="54" t="str">
        <f aca="false">IF(OR(D196="",B196=""),"",IF(F196&lt;&gt;"",F196,B196+IFERROR(INDEX(Suppliers!$Q$7:$Q$106,MATCH(D196,Suppliers!$B$7:$B$106,0)),Setup!$C$7)))</f>
        <v/>
      </c>
      <c r="I196" s="46" t="str">
        <f aca="false">IF(OR(D196="",C196=""),IF(D196="","",0),SUMIFS(Payments!$D$8:$D$507,Payments!$C$8:$C$507,D196,Payments!$F$8:$F$507,C196))</f>
        <v/>
      </c>
      <c r="J196" s="46" t="str">
        <f aca="false">IF(D196="","",MIN(P196,MAX(0,R196-Q196)))</f>
        <v/>
      </c>
      <c r="K196" s="47" t="str">
        <f aca="false">IF(D196="","",P196-J196)</f>
        <v/>
      </c>
      <c r="L196" s="55" t="str">
        <f aca="false">IF(OR(D196="",N(K196)&lt;=0,H196=""),"",MAX(0,Setup!$C$11-H196))</f>
        <v/>
      </c>
      <c r="M196" s="54" t="str">
        <f aca="false">IF(OR(D196="",B196=""),"",IF(IFERROR(INDEX(Suppliers!$S$7:$S$106,MATCH(D196,Suppliers!$B$7:$B$106,0)),"")="","–",B196+IFERROR(INDEX(Suppliers!$S$7:$S$106,MATCH(D196,Suppliers!$B$7:$B$106,0)),"")))</f>
        <v/>
      </c>
      <c r="N196" s="56" t="str">
        <f aca="false">IF(D196="","",IF(N(K196)&lt;=0,"Paid",IF(AND(ISNUMBER(M196),Setup!$C$11&gt;M196),"⚠ MSME late",IF(N(L196)&gt;0,"Overdue",IF(N(V196)&lt;=Setup!$C$9,"⚠ MSME due soon",IF(K196&lt;E196,"Part paid","Not due"))))))</f>
        <v/>
      </c>
      <c r="O196" s="50" t="str">
        <f aca="false">IF(AND(D196="",B196="",C196="",E196=""),"",IF(D196="","⚠ Pick supplier",IF(ISNA(MATCH(D196,Suppliers!$B$7:$B$106,0)),"⚠ Supplier not in list",IF(B196="","⚠ Enter bill date",IF(N(E196)&lt;=0,"⚠ Enter amount",IF(AND(C196&lt;&gt;"",COUNTIFS($D$8:$D$507,D196,$C$8:$C$507,C196)&gt;1),"⚠ Bill no. used twice",IF(N(I196)&gt;N(E196),"⚠ Paid more than bill","✔")))))))</f>
        <v/>
      </c>
      <c r="P196" s="9" t="n">
        <f aca="false">IF(D196="",0,MAX(0,N(E196)-N(I196)))</f>
        <v>0</v>
      </c>
      <c r="Q196" s="9" t="n">
        <f aca="false">IF(D196="",0,SUMIFS($P$8:$P$507,$D$8:$D$507,D196,$B$8:$B$507,"&lt;"&amp;B196)+SUMIFS($P$8:P195,$D$8:D195,D196,$B$8:B195,B196))</f>
        <v>0</v>
      </c>
      <c r="R196" s="9" t="n">
        <f aca="false">IF(D196="",0,IFERROR(INDEX(Suppliers!$R$7:$R$106,MATCH(D196,Suppliers!$B$7:$B$106,0)),0))</f>
        <v>0</v>
      </c>
      <c r="S196" s="9" t="str">
        <f aca="false">IF(N(K196)&gt;0,IF(H196="",99999,MIN(H196,IF(ISNUMBER(M196),M196,H196)))+ROW()/100000,"")</f>
        <v/>
      </c>
      <c r="U196" s="9" t="n">
        <f aca="false">IF(N(K196)&gt;0,N(L196),0)</f>
        <v>0</v>
      </c>
      <c r="V196" s="9" t="n">
        <f aca="false">IF(AND(N(K196)&gt;0,ISNUMBER(M196)),M196-Setup!$C$11,99999)</f>
        <v>99999</v>
      </c>
    </row>
    <row r="197" customFormat="false" ht="15" hidden="false" customHeight="false" outlineLevel="0" collapsed="false">
      <c r="A197" s="40" t="str">
        <f aca="false">IF(D197="","",ROW()-7)</f>
        <v/>
      </c>
      <c r="B197" s="79"/>
      <c r="C197" s="75"/>
      <c r="D197" s="76"/>
      <c r="E197" s="80"/>
      <c r="F197" s="79"/>
      <c r="G197" s="76"/>
      <c r="H197" s="54" t="str">
        <f aca="false">IF(OR(D197="",B197=""),"",IF(F197&lt;&gt;"",F197,B197+IFERROR(INDEX(Suppliers!$Q$7:$Q$106,MATCH(D197,Suppliers!$B$7:$B$106,0)),Setup!$C$7)))</f>
        <v/>
      </c>
      <c r="I197" s="46" t="str">
        <f aca="false">IF(OR(D197="",C197=""),IF(D197="","",0),SUMIFS(Payments!$D$8:$D$507,Payments!$C$8:$C$507,D197,Payments!$F$8:$F$507,C197))</f>
        <v/>
      </c>
      <c r="J197" s="46" t="str">
        <f aca="false">IF(D197="","",MIN(P197,MAX(0,R197-Q197)))</f>
        <v/>
      </c>
      <c r="K197" s="47" t="str">
        <f aca="false">IF(D197="","",P197-J197)</f>
        <v/>
      </c>
      <c r="L197" s="55" t="str">
        <f aca="false">IF(OR(D197="",N(K197)&lt;=0,H197=""),"",MAX(0,Setup!$C$11-H197))</f>
        <v/>
      </c>
      <c r="M197" s="54" t="str">
        <f aca="false">IF(OR(D197="",B197=""),"",IF(IFERROR(INDEX(Suppliers!$S$7:$S$106,MATCH(D197,Suppliers!$B$7:$B$106,0)),"")="","–",B197+IFERROR(INDEX(Suppliers!$S$7:$S$106,MATCH(D197,Suppliers!$B$7:$B$106,0)),"")))</f>
        <v/>
      </c>
      <c r="N197" s="56" t="str">
        <f aca="false">IF(D197="","",IF(N(K197)&lt;=0,"Paid",IF(AND(ISNUMBER(M197),Setup!$C$11&gt;M197),"⚠ MSME late",IF(N(L197)&gt;0,"Overdue",IF(N(V197)&lt;=Setup!$C$9,"⚠ MSME due soon",IF(K197&lt;E197,"Part paid","Not due"))))))</f>
        <v/>
      </c>
      <c r="O197" s="50" t="str">
        <f aca="false">IF(AND(D197="",B197="",C197="",E197=""),"",IF(D197="","⚠ Pick supplier",IF(ISNA(MATCH(D197,Suppliers!$B$7:$B$106,0)),"⚠ Supplier not in list",IF(B197="","⚠ Enter bill date",IF(N(E197)&lt;=0,"⚠ Enter amount",IF(AND(C197&lt;&gt;"",COUNTIFS($D$8:$D$507,D197,$C$8:$C$507,C197)&gt;1),"⚠ Bill no. used twice",IF(N(I197)&gt;N(E197),"⚠ Paid more than bill","✔")))))))</f>
        <v/>
      </c>
      <c r="P197" s="9" t="n">
        <f aca="false">IF(D197="",0,MAX(0,N(E197)-N(I197)))</f>
        <v>0</v>
      </c>
      <c r="Q197" s="9" t="n">
        <f aca="false">IF(D197="",0,SUMIFS($P$8:$P$507,$D$8:$D$507,D197,$B$8:$B$507,"&lt;"&amp;B197)+SUMIFS($P$8:P196,$D$8:D196,D197,$B$8:B196,B197))</f>
        <v>0</v>
      </c>
      <c r="R197" s="9" t="n">
        <f aca="false">IF(D197="",0,IFERROR(INDEX(Suppliers!$R$7:$R$106,MATCH(D197,Suppliers!$B$7:$B$106,0)),0))</f>
        <v>0</v>
      </c>
      <c r="S197" s="9" t="str">
        <f aca="false">IF(N(K197)&gt;0,IF(H197="",99999,MIN(H197,IF(ISNUMBER(M197),M197,H197)))+ROW()/100000,"")</f>
        <v/>
      </c>
      <c r="U197" s="9" t="n">
        <f aca="false">IF(N(K197)&gt;0,N(L197),0)</f>
        <v>0</v>
      </c>
      <c r="V197" s="9" t="n">
        <f aca="false">IF(AND(N(K197)&gt;0,ISNUMBER(M197)),M197-Setup!$C$11,99999)</f>
        <v>99999</v>
      </c>
    </row>
    <row r="198" customFormat="false" ht="15" hidden="false" customHeight="false" outlineLevel="0" collapsed="false">
      <c r="A198" s="40" t="str">
        <f aca="false">IF(D198="","",ROW()-7)</f>
        <v/>
      </c>
      <c r="B198" s="79"/>
      <c r="C198" s="75"/>
      <c r="D198" s="76"/>
      <c r="E198" s="80"/>
      <c r="F198" s="79"/>
      <c r="G198" s="76"/>
      <c r="H198" s="54" t="str">
        <f aca="false">IF(OR(D198="",B198=""),"",IF(F198&lt;&gt;"",F198,B198+IFERROR(INDEX(Suppliers!$Q$7:$Q$106,MATCH(D198,Suppliers!$B$7:$B$106,0)),Setup!$C$7)))</f>
        <v/>
      </c>
      <c r="I198" s="46" t="str">
        <f aca="false">IF(OR(D198="",C198=""),IF(D198="","",0),SUMIFS(Payments!$D$8:$D$507,Payments!$C$8:$C$507,D198,Payments!$F$8:$F$507,C198))</f>
        <v/>
      </c>
      <c r="J198" s="46" t="str">
        <f aca="false">IF(D198="","",MIN(P198,MAX(0,R198-Q198)))</f>
        <v/>
      </c>
      <c r="K198" s="47" t="str">
        <f aca="false">IF(D198="","",P198-J198)</f>
        <v/>
      </c>
      <c r="L198" s="55" t="str">
        <f aca="false">IF(OR(D198="",N(K198)&lt;=0,H198=""),"",MAX(0,Setup!$C$11-H198))</f>
        <v/>
      </c>
      <c r="M198" s="54" t="str">
        <f aca="false">IF(OR(D198="",B198=""),"",IF(IFERROR(INDEX(Suppliers!$S$7:$S$106,MATCH(D198,Suppliers!$B$7:$B$106,0)),"")="","–",B198+IFERROR(INDEX(Suppliers!$S$7:$S$106,MATCH(D198,Suppliers!$B$7:$B$106,0)),"")))</f>
        <v/>
      </c>
      <c r="N198" s="56" t="str">
        <f aca="false">IF(D198="","",IF(N(K198)&lt;=0,"Paid",IF(AND(ISNUMBER(M198),Setup!$C$11&gt;M198),"⚠ MSME late",IF(N(L198)&gt;0,"Overdue",IF(N(V198)&lt;=Setup!$C$9,"⚠ MSME due soon",IF(K198&lt;E198,"Part paid","Not due"))))))</f>
        <v/>
      </c>
      <c r="O198" s="50" t="str">
        <f aca="false">IF(AND(D198="",B198="",C198="",E198=""),"",IF(D198="","⚠ Pick supplier",IF(ISNA(MATCH(D198,Suppliers!$B$7:$B$106,0)),"⚠ Supplier not in list",IF(B198="","⚠ Enter bill date",IF(N(E198)&lt;=0,"⚠ Enter amount",IF(AND(C198&lt;&gt;"",COUNTIFS($D$8:$D$507,D198,$C$8:$C$507,C198)&gt;1),"⚠ Bill no. used twice",IF(N(I198)&gt;N(E198),"⚠ Paid more than bill","✔")))))))</f>
        <v/>
      </c>
      <c r="P198" s="9" t="n">
        <f aca="false">IF(D198="",0,MAX(0,N(E198)-N(I198)))</f>
        <v>0</v>
      </c>
      <c r="Q198" s="9" t="n">
        <f aca="false">IF(D198="",0,SUMIFS($P$8:$P$507,$D$8:$D$507,D198,$B$8:$B$507,"&lt;"&amp;B198)+SUMIFS($P$8:P197,$D$8:D197,D198,$B$8:B197,B198))</f>
        <v>0</v>
      </c>
      <c r="R198" s="9" t="n">
        <f aca="false">IF(D198="",0,IFERROR(INDEX(Suppliers!$R$7:$R$106,MATCH(D198,Suppliers!$B$7:$B$106,0)),0))</f>
        <v>0</v>
      </c>
      <c r="S198" s="9" t="str">
        <f aca="false">IF(N(K198)&gt;0,IF(H198="",99999,MIN(H198,IF(ISNUMBER(M198),M198,H198)))+ROW()/100000,"")</f>
        <v/>
      </c>
      <c r="U198" s="9" t="n">
        <f aca="false">IF(N(K198)&gt;0,N(L198),0)</f>
        <v>0</v>
      </c>
      <c r="V198" s="9" t="n">
        <f aca="false">IF(AND(N(K198)&gt;0,ISNUMBER(M198)),M198-Setup!$C$11,99999)</f>
        <v>99999</v>
      </c>
    </row>
    <row r="199" customFormat="false" ht="15" hidden="false" customHeight="false" outlineLevel="0" collapsed="false">
      <c r="A199" s="40" t="str">
        <f aca="false">IF(D199="","",ROW()-7)</f>
        <v/>
      </c>
      <c r="B199" s="79"/>
      <c r="C199" s="75"/>
      <c r="D199" s="76"/>
      <c r="E199" s="80"/>
      <c r="F199" s="79"/>
      <c r="G199" s="76"/>
      <c r="H199" s="54" t="str">
        <f aca="false">IF(OR(D199="",B199=""),"",IF(F199&lt;&gt;"",F199,B199+IFERROR(INDEX(Suppliers!$Q$7:$Q$106,MATCH(D199,Suppliers!$B$7:$B$106,0)),Setup!$C$7)))</f>
        <v/>
      </c>
      <c r="I199" s="46" t="str">
        <f aca="false">IF(OR(D199="",C199=""),IF(D199="","",0),SUMIFS(Payments!$D$8:$D$507,Payments!$C$8:$C$507,D199,Payments!$F$8:$F$507,C199))</f>
        <v/>
      </c>
      <c r="J199" s="46" t="str">
        <f aca="false">IF(D199="","",MIN(P199,MAX(0,R199-Q199)))</f>
        <v/>
      </c>
      <c r="K199" s="47" t="str">
        <f aca="false">IF(D199="","",P199-J199)</f>
        <v/>
      </c>
      <c r="L199" s="55" t="str">
        <f aca="false">IF(OR(D199="",N(K199)&lt;=0,H199=""),"",MAX(0,Setup!$C$11-H199))</f>
        <v/>
      </c>
      <c r="M199" s="54" t="str">
        <f aca="false">IF(OR(D199="",B199=""),"",IF(IFERROR(INDEX(Suppliers!$S$7:$S$106,MATCH(D199,Suppliers!$B$7:$B$106,0)),"")="","–",B199+IFERROR(INDEX(Suppliers!$S$7:$S$106,MATCH(D199,Suppliers!$B$7:$B$106,0)),"")))</f>
        <v/>
      </c>
      <c r="N199" s="56" t="str">
        <f aca="false">IF(D199="","",IF(N(K199)&lt;=0,"Paid",IF(AND(ISNUMBER(M199),Setup!$C$11&gt;M199),"⚠ MSME late",IF(N(L199)&gt;0,"Overdue",IF(N(V199)&lt;=Setup!$C$9,"⚠ MSME due soon",IF(K199&lt;E199,"Part paid","Not due"))))))</f>
        <v/>
      </c>
      <c r="O199" s="50" t="str">
        <f aca="false">IF(AND(D199="",B199="",C199="",E199=""),"",IF(D199="","⚠ Pick supplier",IF(ISNA(MATCH(D199,Suppliers!$B$7:$B$106,0)),"⚠ Supplier not in list",IF(B199="","⚠ Enter bill date",IF(N(E199)&lt;=0,"⚠ Enter amount",IF(AND(C199&lt;&gt;"",COUNTIFS($D$8:$D$507,D199,$C$8:$C$507,C199)&gt;1),"⚠ Bill no. used twice",IF(N(I199)&gt;N(E199),"⚠ Paid more than bill","✔")))))))</f>
        <v/>
      </c>
      <c r="P199" s="9" t="n">
        <f aca="false">IF(D199="",0,MAX(0,N(E199)-N(I199)))</f>
        <v>0</v>
      </c>
      <c r="Q199" s="9" t="n">
        <f aca="false">IF(D199="",0,SUMIFS($P$8:$P$507,$D$8:$D$507,D199,$B$8:$B$507,"&lt;"&amp;B199)+SUMIFS($P$8:P198,$D$8:D198,D199,$B$8:B198,B199))</f>
        <v>0</v>
      </c>
      <c r="R199" s="9" t="n">
        <f aca="false">IF(D199="",0,IFERROR(INDEX(Suppliers!$R$7:$R$106,MATCH(D199,Suppliers!$B$7:$B$106,0)),0))</f>
        <v>0</v>
      </c>
      <c r="S199" s="9" t="str">
        <f aca="false">IF(N(K199)&gt;0,IF(H199="",99999,MIN(H199,IF(ISNUMBER(M199),M199,H199)))+ROW()/100000,"")</f>
        <v/>
      </c>
      <c r="U199" s="9" t="n">
        <f aca="false">IF(N(K199)&gt;0,N(L199),0)</f>
        <v>0</v>
      </c>
      <c r="V199" s="9" t="n">
        <f aca="false">IF(AND(N(K199)&gt;0,ISNUMBER(M199)),M199-Setup!$C$11,99999)</f>
        <v>99999</v>
      </c>
    </row>
    <row r="200" customFormat="false" ht="15" hidden="false" customHeight="false" outlineLevel="0" collapsed="false">
      <c r="A200" s="40" t="str">
        <f aca="false">IF(D200="","",ROW()-7)</f>
        <v/>
      </c>
      <c r="B200" s="79"/>
      <c r="C200" s="75"/>
      <c r="D200" s="76"/>
      <c r="E200" s="80"/>
      <c r="F200" s="79"/>
      <c r="G200" s="76"/>
      <c r="H200" s="54" t="str">
        <f aca="false">IF(OR(D200="",B200=""),"",IF(F200&lt;&gt;"",F200,B200+IFERROR(INDEX(Suppliers!$Q$7:$Q$106,MATCH(D200,Suppliers!$B$7:$B$106,0)),Setup!$C$7)))</f>
        <v/>
      </c>
      <c r="I200" s="46" t="str">
        <f aca="false">IF(OR(D200="",C200=""),IF(D200="","",0),SUMIFS(Payments!$D$8:$D$507,Payments!$C$8:$C$507,D200,Payments!$F$8:$F$507,C200))</f>
        <v/>
      </c>
      <c r="J200" s="46" t="str">
        <f aca="false">IF(D200="","",MIN(P200,MAX(0,R200-Q200)))</f>
        <v/>
      </c>
      <c r="K200" s="47" t="str">
        <f aca="false">IF(D200="","",P200-J200)</f>
        <v/>
      </c>
      <c r="L200" s="55" t="str">
        <f aca="false">IF(OR(D200="",N(K200)&lt;=0,H200=""),"",MAX(0,Setup!$C$11-H200))</f>
        <v/>
      </c>
      <c r="M200" s="54" t="str">
        <f aca="false">IF(OR(D200="",B200=""),"",IF(IFERROR(INDEX(Suppliers!$S$7:$S$106,MATCH(D200,Suppliers!$B$7:$B$106,0)),"")="","–",B200+IFERROR(INDEX(Suppliers!$S$7:$S$106,MATCH(D200,Suppliers!$B$7:$B$106,0)),"")))</f>
        <v/>
      </c>
      <c r="N200" s="56" t="str">
        <f aca="false">IF(D200="","",IF(N(K200)&lt;=0,"Paid",IF(AND(ISNUMBER(M200),Setup!$C$11&gt;M200),"⚠ MSME late",IF(N(L200)&gt;0,"Overdue",IF(N(V200)&lt;=Setup!$C$9,"⚠ MSME due soon",IF(K200&lt;E200,"Part paid","Not due"))))))</f>
        <v/>
      </c>
      <c r="O200" s="50" t="str">
        <f aca="false">IF(AND(D200="",B200="",C200="",E200=""),"",IF(D200="","⚠ Pick supplier",IF(ISNA(MATCH(D200,Suppliers!$B$7:$B$106,0)),"⚠ Supplier not in list",IF(B200="","⚠ Enter bill date",IF(N(E200)&lt;=0,"⚠ Enter amount",IF(AND(C200&lt;&gt;"",COUNTIFS($D$8:$D$507,D200,$C$8:$C$507,C200)&gt;1),"⚠ Bill no. used twice",IF(N(I200)&gt;N(E200),"⚠ Paid more than bill","✔")))))))</f>
        <v/>
      </c>
      <c r="P200" s="9" t="n">
        <f aca="false">IF(D200="",0,MAX(0,N(E200)-N(I200)))</f>
        <v>0</v>
      </c>
      <c r="Q200" s="9" t="n">
        <f aca="false">IF(D200="",0,SUMIFS($P$8:$P$507,$D$8:$D$507,D200,$B$8:$B$507,"&lt;"&amp;B200)+SUMIFS($P$8:P199,$D$8:D199,D200,$B$8:B199,B200))</f>
        <v>0</v>
      </c>
      <c r="R200" s="9" t="n">
        <f aca="false">IF(D200="",0,IFERROR(INDEX(Suppliers!$R$7:$R$106,MATCH(D200,Suppliers!$B$7:$B$106,0)),0))</f>
        <v>0</v>
      </c>
      <c r="S200" s="9" t="str">
        <f aca="false">IF(N(K200)&gt;0,IF(H200="",99999,MIN(H200,IF(ISNUMBER(M200),M200,H200)))+ROW()/100000,"")</f>
        <v/>
      </c>
      <c r="U200" s="9" t="n">
        <f aca="false">IF(N(K200)&gt;0,N(L200),0)</f>
        <v>0</v>
      </c>
      <c r="V200" s="9" t="n">
        <f aca="false">IF(AND(N(K200)&gt;0,ISNUMBER(M200)),M200-Setup!$C$11,99999)</f>
        <v>99999</v>
      </c>
    </row>
    <row r="201" customFormat="false" ht="15" hidden="false" customHeight="false" outlineLevel="0" collapsed="false">
      <c r="A201" s="40" t="str">
        <f aca="false">IF(D201="","",ROW()-7)</f>
        <v/>
      </c>
      <c r="B201" s="79"/>
      <c r="C201" s="75"/>
      <c r="D201" s="76"/>
      <c r="E201" s="80"/>
      <c r="F201" s="79"/>
      <c r="G201" s="76"/>
      <c r="H201" s="54" t="str">
        <f aca="false">IF(OR(D201="",B201=""),"",IF(F201&lt;&gt;"",F201,B201+IFERROR(INDEX(Suppliers!$Q$7:$Q$106,MATCH(D201,Suppliers!$B$7:$B$106,0)),Setup!$C$7)))</f>
        <v/>
      </c>
      <c r="I201" s="46" t="str">
        <f aca="false">IF(OR(D201="",C201=""),IF(D201="","",0),SUMIFS(Payments!$D$8:$D$507,Payments!$C$8:$C$507,D201,Payments!$F$8:$F$507,C201))</f>
        <v/>
      </c>
      <c r="J201" s="46" t="str">
        <f aca="false">IF(D201="","",MIN(P201,MAX(0,R201-Q201)))</f>
        <v/>
      </c>
      <c r="K201" s="47" t="str">
        <f aca="false">IF(D201="","",P201-J201)</f>
        <v/>
      </c>
      <c r="L201" s="55" t="str">
        <f aca="false">IF(OR(D201="",N(K201)&lt;=0,H201=""),"",MAX(0,Setup!$C$11-H201))</f>
        <v/>
      </c>
      <c r="M201" s="54" t="str">
        <f aca="false">IF(OR(D201="",B201=""),"",IF(IFERROR(INDEX(Suppliers!$S$7:$S$106,MATCH(D201,Suppliers!$B$7:$B$106,0)),"")="","–",B201+IFERROR(INDEX(Suppliers!$S$7:$S$106,MATCH(D201,Suppliers!$B$7:$B$106,0)),"")))</f>
        <v/>
      </c>
      <c r="N201" s="56" t="str">
        <f aca="false">IF(D201="","",IF(N(K201)&lt;=0,"Paid",IF(AND(ISNUMBER(M201),Setup!$C$11&gt;M201),"⚠ MSME late",IF(N(L201)&gt;0,"Overdue",IF(N(V201)&lt;=Setup!$C$9,"⚠ MSME due soon",IF(K201&lt;E201,"Part paid","Not due"))))))</f>
        <v/>
      </c>
      <c r="O201" s="50" t="str">
        <f aca="false">IF(AND(D201="",B201="",C201="",E201=""),"",IF(D201="","⚠ Pick supplier",IF(ISNA(MATCH(D201,Suppliers!$B$7:$B$106,0)),"⚠ Supplier not in list",IF(B201="","⚠ Enter bill date",IF(N(E201)&lt;=0,"⚠ Enter amount",IF(AND(C201&lt;&gt;"",COUNTIFS($D$8:$D$507,D201,$C$8:$C$507,C201)&gt;1),"⚠ Bill no. used twice",IF(N(I201)&gt;N(E201),"⚠ Paid more than bill","✔")))))))</f>
        <v/>
      </c>
      <c r="P201" s="9" t="n">
        <f aca="false">IF(D201="",0,MAX(0,N(E201)-N(I201)))</f>
        <v>0</v>
      </c>
      <c r="Q201" s="9" t="n">
        <f aca="false">IF(D201="",0,SUMIFS($P$8:$P$507,$D$8:$D$507,D201,$B$8:$B$507,"&lt;"&amp;B201)+SUMIFS($P$8:P200,$D$8:D200,D201,$B$8:B200,B201))</f>
        <v>0</v>
      </c>
      <c r="R201" s="9" t="n">
        <f aca="false">IF(D201="",0,IFERROR(INDEX(Suppliers!$R$7:$R$106,MATCH(D201,Suppliers!$B$7:$B$106,0)),0))</f>
        <v>0</v>
      </c>
      <c r="S201" s="9" t="str">
        <f aca="false">IF(N(K201)&gt;0,IF(H201="",99999,MIN(H201,IF(ISNUMBER(M201),M201,H201)))+ROW()/100000,"")</f>
        <v/>
      </c>
      <c r="U201" s="9" t="n">
        <f aca="false">IF(N(K201)&gt;0,N(L201),0)</f>
        <v>0</v>
      </c>
      <c r="V201" s="9" t="n">
        <f aca="false">IF(AND(N(K201)&gt;0,ISNUMBER(M201)),M201-Setup!$C$11,99999)</f>
        <v>99999</v>
      </c>
    </row>
    <row r="202" customFormat="false" ht="15" hidden="false" customHeight="false" outlineLevel="0" collapsed="false">
      <c r="A202" s="40" t="str">
        <f aca="false">IF(D202="","",ROW()-7)</f>
        <v/>
      </c>
      <c r="B202" s="79"/>
      <c r="C202" s="75"/>
      <c r="D202" s="76"/>
      <c r="E202" s="80"/>
      <c r="F202" s="79"/>
      <c r="G202" s="76"/>
      <c r="H202" s="54" t="str">
        <f aca="false">IF(OR(D202="",B202=""),"",IF(F202&lt;&gt;"",F202,B202+IFERROR(INDEX(Suppliers!$Q$7:$Q$106,MATCH(D202,Suppliers!$B$7:$B$106,0)),Setup!$C$7)))</f>
        <v/>
      </c>
      <c r="I202" s="46" t="str">
        <f aca="false">IF(OR(D202="",C202=""),IF(D202="","",0),SUMIFS(Payments!$D$8:$D$507,Payments!$C$8:$C$507,D202,Payments!$F$8:$F$507,C202))</f>
        <v/>
      </c>
      <c r="J202" s="46" t="str">
        <f aca="false">IF(D202="","",MIN(P202,MAX(0,R202-Q202)))</f>
        <v/>
      </c>
      <c r="K202" s="47" t="str">
        <f aca="false">IF(D202="","",P202-J202)</f>
        <v/>
      </c>
      <c r="L202" s="55" t="str">
        <f aca="false">IF(OR(D202="",N(K202)&lt;=0,H202=""),"",MAX(0,Setup!$C$11-H202))</f>
        <v/>
      </c>
      <c r="M202" s="54" t="str">
        <f aca="false">IF(OR(D202="",B202=""),"",IF(IFERROR(INDEX(Suppliers!$S$7:$S$106,MATCH(D202,Suppliers!$B$7:$B$106,0)),"")="","–",B202+IFERROR(INDEX(Suppliers!$S$7:$S$106,MATCH(D202,Suppliers!$B$7:$B$106,0)),"")))</f>
        <v/>
      </c>
      <c r="N202" s="56" t="str">
        <f aca="false">IF(D202="","",IF(N(K202)&lt;=0,"Paid",IF(AND(ISNUMBER(M202),Setup!$C$11&gt;M202),"⚠ MSME late",IF(N(L202)&gt;0,"Overdue",IF(N(V202)&lt;=Setup!$C$9,"⚠ MSME due soon",IF(K202&lt;E202,"Part paid","Not due"))))))</f>
        <v/>
      </c>
      <c r="O202" s="50" t="str">
        <f aca="false">IF(AND(D202="",B202="",C202="",E202=""),"",IF(D202="","⚠ Pick supplier",IF(ISNA(MATCH(D202,Suppliers!$B$7:$B$106,0)),"⚠ Supplier not in list",IF(B202="","⚠ Enter bill date",IF(N(E202)&lt;=0,"⚠ Enter amount",IF(AND(C202&lt;&gt;"",COUNTIFS($D$8:$D$507,D202,$C$8:$C$507,C202)&gt;1),"⚠ Bill no. used twice",IF(N(I202)&gt;N(E202),"⚠ Paid more than bill","✔")))))))</f>
        <v/>
      </c>
      <c r="P202" s="9" t="n">
        <f aca="false">IF(D202="",0,MAX(0,N(E202)-N(I202)))</f>
        <v>0</v>
      </c>
      <c r="Q202" s="9" t="n">
        <f aca="false">IF(D202="",0,SUMIFS($P$8:$P$507,$D$8:$D$507,D202,$B$8:$B$507,"&lt;"&amp;B202)+SUMIFS($P$8:P201,$D$8:D201,D202,$B$8:B201,B202))</f>
        <v>0</v>
      </c>
      <c r="R202" s="9" t="n">
        <f aca="false">IF(D202="",0,IFERROR(INDEX(Suppliers!$R$7:$R$106,MATCH(D202,Suppliers!$B$7:$B$106,0)),0))</f>
        <v>0</v>
      </c>
      <c r="S202" s="9" t="str">
        <f aca="false">IF(N(K202)&gt;0,IF(H202="",99999,MIN(H202,IF(ISNUMBER(M202),M202,H202)))+ROW()/100000,"")</f>
        <v/>
      </c>
      <c r="U202" s="9" t="n">
        <f aca="false">IF(N(K202)&gt;0,N(L202),0)</f>
        <v>0</v>
      </c>
      <c r="V202" s="9" t="n">
        <f aca="false">IF(AND(N(K202)&gt;0,ISNUMBER(M202)),M202-Setup!$C$11,99999)</f>
        <v>99999</v>
      </c>
    </row>
    <row r="203" customFormat="false" ht="15" hidden="false" customHeight="false" outlineLevel="0" collapsed="false">
      <c r="A203" s="40" t="str">
        <f aca="false">IF(D203="","",ROW()-7)</f>
        <v/>
      </c>
      <c r="B203" s="79"/>
      <c r="C203" s="75"/>
      <c r="D203" s="76"/>
      <c r="E203" s="80"/>
      <c r="F203" s="79"/>
      <c r="G203" s="76"/>
      <c r="H203" s="54" t="str">
        <f aca="false">IF(OR(D203="",B203=""),"",IF(F203&lt;&gt;"",F203,B203+IFERROR(INDEX(Suppliers!$Q$7:$Q$106,MATCH(D203,Suppliers!$B$7:$B$106,0)),Setup!$C$7)))</f>
        <v/>
      </c>
      <c r="I203" s="46" t="str">
        <f aca="false">IF(OR(D203="",C203=""),IF(D203="","",0),SUMIFS(Payments!$D$8:$D$507,Payments!$C$8:$C$507,D203,Payments!$F$8:$F$507,C203))</f>
        <v/>
      </c>
      <c r="J203" s="46" t="str">
        <f aca="false">IF(D203="","",MIN(P203,MAX(0,R203-Q203)))</f>
        <v/>
      </c>
      <c r="K203" s="47" t="str">
        <f aca="false">IF(D203="","",P203-J203)</f>
        <v/>
      </c>
      <c r="L203" s="55" t="str">
        <f aca="false">IF(OR(D203="",N(K203)&lt;=0,H203=""),"",MAX(0,Setup!$C$11-H203))</f>
        <v/>
      </c>
      <c r="M203" s="54" t="str">
        <f aca="false">IF(OR(D203="",B203=""),"",IF(IFERROR(INDEX(Suppliers!$S$7:$S$106,MATCH(D203,Suppliers!$B$7:$B$106,0)),"")="","–",B203+IFERROR(INDEX(Suppliers!$S$7:$S$106,MATCH(D203,Suppliers!$B$7:$B$106,0)),"")))</f>
        <v/>
      </c>
      <c r="N203" s="56" t="str">
        <f aca="false">IF(D203="","",IF(N(K203)&lt;=0,"Paid",IF(AND(ISNUMBER(M203),Setup!$C$11&gt;M203),"⚠ MSME late",IF(N(L203)&gt;0,"Overdue",IF(N(V203)&lt;=Setup!$C$9,"⚠ MSME due soon",IF(K203&lt;E203,"Part paid","Not due"))))))</f>
        <v/>
      </c>
      <c r="O203" s="50" t="str">
        <f aca="false">IF(AND(D203="",B203="",C203="",E203=""),"",IF(D203="","⚠ Pick supplier",IF(ISNA(MATCH(D203,Suppliers!$B$7:$B$106,0)),"⚠ Supplier not in list",IF(B203="","⚠ Enter bill date",IF(N(E203)&lt;=0,"⚠ Enter amount",IF(AND(C203&lt;&gt;"",COUNTIFS($D$8:$D$507,D203,$C$8:$C$507,C203)&gt;1),"⚠ Bill no. used twice",IF(N(I203)&gt;N(E203),"⚠ Paid more than bill","✔")))))))</f>
        <v/>
      </c>
      <c r="P203" s="9" t="n">
        <f aca="false">IF(D203="",0,MAX(0,N(E203)-N(I203)))</f>
        <v>0</v>
      </c>
      <c r="Q203" s="9" t="n">
        <f aca="false">IF(D203="",0,SUMIFS($P$8:$P$507,$D$8:$D$507,D203,$B$8:$B$507,"&lt;"&amp;B203)+SUMIFS($P$8:P202,$D$8:D202,D203,$B$8:B202,B203))</f>
        <v>0</v>
      </c>
      <c r="R203" s="9" t="n">
        <f aca="false">IF(D203="",0,IFERROR(INDEX(Suppliers!$R$7:$R$106,MATCH(D203,Suppliers!$B$7:$B$106,0)),0))</f>
        <v>0</v>
      </c>
      <c r="S203" s="9" t="str">
        <f aca="false">IF(N(K203)&gt;0,IF(H203="",99999,MIN(H203,IF(ISNUMBER(M203),M203,H203)))+ROW()/100000,"")</f>
        <v/>
      </c>
      <c r="U203" s="9" t="n">
        <f aca="false">IF(N(K203)&gt;0,N(L203),0)</f>
        <v>0</v>
      </c>
      <c r="V203" s="9" t="n">
        <f aca="false">IF(AND(N(K203)&gt;0,ISNUMBER(M203)),M203-Setup!$C$11,99999)</f>
        <v>99999</v>
      </c>
    </row>
    <row r="204" customFormat="false" ht="15" hidden="false" customHeight="false" outlineLevel="0" collapsed="false">
      <c r="A204" s="40" t="str">
        <f aca="false">IF(D204="","",ROW()-7)</f>
        <v/>
      </c>
      <c r="B204" s="79"/>
      <c r="C204" s="75"/>
      <c r="D204" s="76"/>
      <c r="E204" s="80"/>
      <c r="F204" s="79"/>
      <c r="G204" s="76"/>
      <c r="H204" s="54" t="str">
        <f aca="false">IF(OR(D204="",B204=""),"",IF(F204&lt;&gt;"",F204,B204+IFERROR(INDEX(Suppliers!$Q$7:$Q$106,MATCH(D204,Suppliers!$B$7:$B$106,0)),Setup!$C$7)))</f>
        <v/>
      </c>
      <c r="I204" s="46" t="str">
        <f aca="false">IF(OR(D204="",C204=""),IF(D204="","",0),SUMIFS(Payments!$D$8:$D$507,Payments!$C$8:$C$507,D204,Payments!$F$8:$F$507,C204))</f>
        <v/>
      </c>
      <c r="J204" s="46" t="str">
        <f aca="false">IF(D204="","",MIN(P204,MAX(0,R204-Q204)))</f>
        <v/>
      </c>
      <c r="K204" s="47" t="str">
        <f aca="false">IF(D204="","",P204-J204)</f>
        <v/>
      </c>
      <c r="L204" s="55" t="str">
        <f aca="false">IF(OR(D204="",N(K204)&lt;=0,H204=""),"",MAX(0,Setup!$C$11-H204))</f>
        <v/>
      </c>
      <c r="M204" s="54" t="str">
        <f aca="false">IF(OR(D204="",B204=""),"",IF(IFERROR(INDEX(Suppliers!$S$7:$S$106,MATCH(D204,Suppliers!$B$7:$B$106,0)),"")="","–",B204+IFERROR(INDEX(Suppliers!$S$7:$S$106,MATCH(D204,Suppliers!$B$7:$B$106,0)),"")))</f>
        <v/>
      </c>
      <c r="N204" s="56" t="str">
        <f aca="false">IF(D204="","",IF(N(K204)&lt;=0,"Paid",IF(AND(ISNUMBER(M204),Setup!$C$11&gt;M204),"⚠ MSME late",IF(N(L204)&gt;0,"Overdue",IF(N(V204)&lt;=Setup!$C$9,"⚠ MSME due soon",IF(K204&lt;E204,"Part paid","Not due"))))))</f>
        <v/>
      </c>
      <c r="O204" s="50" t="str">
        <f aca="false">IF(AND(D204="",B204="",C204="",E204=""),"",IF(D204="","⚠ Pick supplier",IF(ISNA(MATCH(D204,Suppliers!$B$7:$B$106,0)),"⚠ Supplier not in list",IF(B204="","⚠ Enter bill date",IF(N(E204)&lt;=0,"⚠ Enter amount",IF(AND(C204&lt;&gt;"",COUNTIFS($D$8:$D$507,D204,$C$8:$C$507,C204)&gt;1),"⚠ Bill no. used twice",IF(N(I204)&gt;N(E204),"⚠ Paid more than bill","✔")))))))</f>
        <v/>
      </c>
      <c r="P204" s="9" t="n">
        <f aca="false">IF(D204="",0,MAX(0,N(E204)-N(I204)))</f>
        <v>0</v>
      </c>
      <c r="Q204" s="9" t="n">
        <f aca="false">IF(D204="",0,SUMIFS($P$8:$P$507,$D$8:$D$507,D204,$B$8:$B$507,"&lt;"&amp;B204)+SUMIFS($P$8:P203,$D$8:D203,D204,$B$8:B203,B204))</f>
        <v>0</v>
      </c>
      <c r="R204" s="9" t="n">
        <f aca="false">IF(D204="",0,IFERROR(INDEX(Suppliers!$R$7:$R$106,MATCH(D204,Suppliers!$B$7:$B$106,0)),0))</f>
        <v>0</v>
      </c>
      <c r="S204" s="9" t="str">
        <f aca="false">IF(N(K204)&gt;0,IF(H204="",99999,MIN(H204,IF(ISNUMBER(M204),M204,H204)))+ROW()/100000,"")</f>
        <v/>
      </c>
      <c r="U204" s="9" t="n">
        <f aca="false">IF(N(K204)&gt;0,N(L204),0)</f>
        <v>0</v>
      </c>
      <c r="V204" s="9" t="n">
        <f aca="false">IF(AND(N(K204)&gt;0,ISNUMBER(M204)),M204-Setup!$C$11,99999)</f>
        <v>99999</v>
      </c>
    </row>
    <row r="205" customFormat="false" ht="15" hidden="false" customHeight="false" outlineLevel="0" collapsed="false">
      <c r="A205" s="40" t="str">
        <f aca="false">IF(D205="","",ROW()-7)</f>
        <v/>
      </c>
      <c r="B205" s="79"/>
      <c r="C205" s="75"/>
      <c r="D205" s="76"/>
      <c r="E205" s="80"/>
      <c r="F205" s="79"/>
      <c r="G205" s="76"/>
      <c r="H205" s="54" t="str">
        <f aca="false">IF(OR(D205="",B205=""),"",IF(F205&lt;&gt;"",F205,B205+IFERROR(INDEX(Suppliers!$Q$7:$Q$106,MATCH(D205,Suppliers!$B$7:$B$106,0)),Setup!$C$7)))</f>
        <v/>
      </c>
      <c r="I205" s="46" t="str">
        <f aca="false">IF(OR(D205="",C205=""),IF(D205="","",0),SUMIFS(Payments!$D$8:$D$507,Payments!$C$8:$C$507,D205,Payments!$F$8:$F$507,C205))</f>
        <v/>
      </c>
      <c r="J205" s="46" t="str">
        <f aca="false">IF(D205="","",MIN(P205,MAX(0,R205-Q205)))</f>
        <v/>
      </c>
      <c r="K205" s="47" t="str">
        <f aca="false">IF(D205="","",P205-J205)</f>
        <v/>
      </c>
      <c r="L205" s="55" t="str">
        <f aca="false">IF(OR(D205="",N(K205)&lt;=0,H205=""),"",MAX(0,Setup!$C$11-H205))</f>
        <v/>
      </c>
      <c r="M205" s="54" t="str">
        <f aca="false">IF(OR(D205="",B205=""),"",IF(IFERROR(INDEX(Suppliers!$S$7:$S$106,MATCH(D205,Suppliers!$B$7:$B$106,0)),"")="","–",B205+IFERROR(INDEX(Suppliers!$S$7:$S$106,MATCH(D205,Suppliers!$B$7:$B$106,0)),"")))</f>
        <v/>
      </c>
      <c r="N205" s="56" t="str">
        <f aca="false">IF(D205="","",IF(N(K205)&lt;=0,"Paid",IF(AND(ISNUMBER(M205),Setup!$C$11&gt;M205),"⚠ MSME late",IF(N(L205)&gt;0,"Overdue",IF(N(V205)&lt;=Setup!$C$9,"⚠ MSME due soon",IF(K205&lt;E205,"Part paid","Not due"))))))</f>
        <v/>
      </c>
      <c r="O205" s="50" t="str">
        <f aca="false">IF(AND(D205="",B205="",C205="",E205=""),"",IF(D205="","⚠ Pick supplier",IF(ISNA(MATCH(D205,Suppliers!$B$7:$B$106,0)),"⚠ Supplier not in list",IF(B205="","⚠ Enter bill date",IF(N(E205)&lt;=0,"⚠ Enter amount",IF(AND(C205&lt;&gt;"",COUNTIFS($D$8:$D$507,D205,$C$8:$C$507,C205)&gt;1),"⚠ Bill no. used twice",IF(N(I205)&gt;N(E205),"⚠ Paid more than bill","✔")))))))</f>
        <v/>
      </c>
      <c r="P205" s="9" t="n">
        <f aca="false">IF(D205="",0,MAX(0,N(E205)-N(I205)))</f>
        <v>0</v>
      </c>
      <c r="Q205" s="9" t="n">
        <f aca="false">IF(D205="",0,SUMIFS($P$8:$P$507,$D$8:$D$507,D205,$B$8:$B$507,"&lt;"&amp;B205)+SUMIFS($P$8:P204,$D$8:D204,D205,$B$8:B204,B205))</f>
        <v>0</v>
      </c>
      <c r="R205" s="9" t="n">
        <f aca="false">IF(D205="",0,IFERROR(INDEX(Suppliers!$R$7:$R$106,MATCH(D205,Suppliers!$B$7:$B$106,0)),0))</f>
        <v>0</v>
      </c>
      <c r="S205" s="9" t="str">
        <f aca="false">IF(N(K205)&gt;0,IF(H205="",99999,MIN(H205,IF(ISNUMBER(M205),M205,H205)))+ROW()/100000,"")</f>
        <v/>
      </c>
      <c r="U205" s="9" t="n">
        <f aca="false">IF(N(K205)&gt;0,N(L205),0)</f>
        <v>0</v>
      </c>
      <c r="V205" s="9" t="n">
        <f aca="false">IF(AND(N(K205)&gt;0,ISNUMBER(M205)),M205-Setup!$C$11,99999)</f>
        <v>99999</v>
      </c>
    </row>
    <row r="206" customFormat="false" ht="15" hidden="false" customHeight="false" outlineLevel="0" collapsed="false">
      <c r="A206" s="40" t="str">
        <f aca="false">IF(D206="","",ROW()-7)</f>
        <v/>
      </c>
      <c r="B206" s="79"/>
      <c r="C206" s="75"/>
      <c r="D206" s="76"/>
      <c r="E206" s="80"/>
      <c r="F206" s="79"/>
      <c r="G206" s="76"/>
      <c r="H206" s="54" t="str">
        <f aca="false">IF(OR(D206="",B206=""),"",IF(F206&lt;&gt;"",F206,B206+IFERROR(INDEX(Suppliers!$Q$7:$Q$106,MATCH(D206,Suppliers!$B$7:$B$106,0)),Setup!$C$7)))</f>
        <v/>
      </c>
      <c r="I206" s="46" t="str">
        <f aca="false">IF(OR(D206="",C206=""),IF(D206="","",0),SUMIFS(Payments!$D$8:$D$507,Payments!$C$8:$C$507,D206,Payments!$F$8:$F$507,C206))</f>
        <v/>
      </c>
      <c r="J206" s="46" t="str">
        <f aca="false">IF(D206="","",MIN(P206,MAX(0,R206-Q206)))</f>
        <v/>
      </c>
      <c r="K206" s="47" t="str">
        <f aca="false">IF(D206="","",P206-J206)</f>
        <v/>
      </c>
      <c r="L206" s="55" t="str">
        <f aca="false">IF(OR(D206="",N(K206)&lt;=0,H206=""),"",MAX(0,Setup!$C$11-H206))</f>
        <v/>
      </c>
      <c r="M206" s="54" t="str">
        <f aca="false">IF(OR(D206="",B206=""),"",IF(IFERROR(INDEX(Suppliers!$S$7:$S$106,MATCH(D206,Suppliers!$B$7:$B$106,0)),"")="","–",B206+IFERROR(INDEX(Suppliers!$S$7:$S$106,MATCH(D206,Suppliers!$B$7:$B$106,0)),"")))</f>
        <v/>
      </c>
      <c r="N206" s="56" t="str">
        <f aca="false">IF(D206="","",IF(N(K206)&lt;=0,"Paid",IF(AND(ISNUMBER(M206),Setup!$C$11&gt;M206),"⚠ MSME late",IF(N(L206)&gt;0,"Overdue",IF(N(V206)&lt;=Setup!$C$9,"⚠ MSME due soon",IF(K206&lt;E206,"Part paid","Not due"))))))</f>
        <v/>
      </c>
      <c r="O206" s="50" t="str">
        <f aca="false">IF(AND(D206="",B206="",C206="",E206=""),"",IF(D206="","⚠ Pick supplier",IF(ISNA(MATCH(D206,Suppliers!$B$7:$B$106,0)),"⚠ Supplier not in list",IF(B206="","⚠ Enter bill date",IF(N(E206)&lt;=0,"⚠ Enter amount",IF(AND(C206&lt;&gt;"",COUNTIFS($D$8:$D$507,D206,$C$8:$C$507,C206)&gt;1),"⚠ Bill no. used twice",IF(N(I206)&gt;N(E206),"⚠ Paid more than bill","✔")))))))</f>
        <v/>
      </c>
      <c r="P206" s="9" t="n">
        <f aca="false">IF(D206="",0,MAX(0,N(E206)-N(I206)))</f>
        <v>0</v>
      </c>
      <c r="Q206" s="9" t="n">
        <f aca="false">IF(D206="",0,SUMIFS($P$8:$P$507,$D$8:$D$507,D206,$B$8:$B$507,"&lt;"&amp;B206)+SUMIFS($P$8:P205,$D$8:D205,D206,$B$8:B205,B206))</f>
        <v>0</v>
      </c>
      <c r="R206" s="9" t="n">
        <f aca="false">IF(D206="",0,IFERROR(INDEX(Suppliers!$R$7:$R$106,MATCH(D206,Suppliers!$B$7:$B$106,0)),0))</f>
        <v>0</v>
      </c>
      <c r="S206" s="9" t="str">
        <f aca="false">IF(N(K206)&gt;0,IF(H206="",99999,MIN(H206,IF(ISNUMBER(M206),M206,H206)))+ROW()/100000,"")</f>
        <v/>
      </c>
      <c r="U206" s="9" t="n">
        <f aca="false">IF(N(K206)&gt;0,N(L206),0)</f>
        <v>0</v>
      </c>
      <c r="V206" s="9" t="n">
        <f aca="false">IF(AND(N(K206)&gt;0,ISNUMBER(M206)),M206-Setup!$C$11,99999)</f>
        <v>99999</v>
      </c>
    </row>
    <row r="207" customFormat="false" ht="15" hidden="false" customHeight="false" outlineLevel="0" collapsed="false">
      <c r="A207" s="40" t="str">
        <f aca="false">IF(D207="","",ROW()-7)</f>
        <v/>
      </c>
      <c r="B207" s="79"/>
      <c r="C207" s="75"/>
      <c r="D207" s="76"/>
      <c r="E207" s="80"/>
      <c r="F207" s="79"/>
      <c r="G207" s="76"/>
      <c r="H207" s="54" t="str">
        <f aca="false">IF(OR(D207="",B207=""),"",IF(F207&lt;&gt;"",F207,B207+IFERROR(INDEX(Suppliers!$Q$7:$Q$106,MATCH(D207,Suppliers!$B$7:$B$106,0)),Setup!$C$7)))</f>
        <v/>
      </c>
      <c r="I207" s="46" t="str">
        <f aca="false">IF(OR(D207="",C207=""),IF(D207="","",0),SUMIFS(Payments!$D$8:$D$507,Payments!$C$8:$C$507,D207,Payments!$F$8:$F$507,C207))</f>
        <v/>
      </c>
      <c r="J207" s="46" t="str">
        <f aca="false">IF(D207="","",MIN(P207,MAX(0,R207-Q207)))</f>
        <v/>
      </c>
      <c r="K207" s="47" t="str">
        <f aca="false">IF(D207="","",P207-J207)</f>
        <v/>
      </c>
      <c r="L207" s="55" t="str">
        <f aca="false">IF(OR(D207="",N(K207)&lt;=0,H207=""),"",MAX(0,Setup!$C$11-H207))</f>
        <v/>
      </c>
      <c r="M207" s="54" t="str">
        <f aca="false">IF(OR(D207="",B207=""),"",IF(IFERROR(INDEX(Suppliers!$S$7:$S$106,MATCH(D207,Suppliers!$B$7:$B$106,0)),"")="","–",B207+IFERROR(INDEX(Suppliers!$S$7:$S$106,MATCH(D207,Suppliers!$B$7:$B$106,0)),"")))</f>
        <v/>
      </c>
      <c r="N207" s="56" t="str">
        <f aca="false">IF(D207="","",IF(N(K207)&lt;=0,"Paid",IF(AND(ISNUMBER(M207),Setup!$C$11&gt;M207),"⚠ MSME late",IF(N(L207)&gt;0,"Overdue",IF(N(V207)&lt;=Setup!$C$9,"⚠ MSME due soon",IF(K207&lt;E207,"Part paid","Not due"))))))</f>
        <v/>
      </c>
      <c r="O207" s="50" t="str">
        <f aca="false">IF(AND(D207="",B207="",C207="",E207=""),"",IF(D207="","⚠ Pick supplier",IF(ISNA(MATCH(D207,Suppliers!$B$7:$B$106,0)),"⚠ Supplier not in list",IF(B207="","⚠ Enter bill date",IF(N(E207)&lt;=0,"⚠ Enter amount",IF(AND(C207&lt;&gt;"",COUNTIFS($D$8:$D$507,D207,$C$8:$C$507,C207)&gt;1),"⚠ Bill no. used twice",IF(N(I207)&gt;N(E207),"⚠ Paid more than bill","✔")))))))</f>
        <v/>
      </c>
      <c r="P207" s="9" t="n">
        <f aca="false">IF(D207="",0,MAX(0,N(E207)-N(I207)))</f>
        <v>0</v>
      </c>
      <c r="Q207" s="9" t="n">
        <f aca="false">IF(D207="",0,SUMIFS($P$8:$P$507,$D$8:$D$507,D207,$B$8:$B$507,"&lt;"&amp;B207)+SUMIFS($P$8:P206,$D$8:D206,D207,$B$8:B206,B207))</f>
        <v>0</v>
      </c>
      <c r="R207" s="9" t="n">
        <f aca="false">IF(D207="",0,IFERROR(INDEX(Suppliers!$R$7:$R$106,MATCH(D207,Suppliers!$B$7:$B$106,0)),0))</f>
        <v>0</v>
      </c>
      <c r="S207" s="9" t="str">
        <f aca="false">IF(N(K207)&gt;0,IF(H207="",99999,MIN(H207,IF(ISNUMBER(M207),M207,H207)))+ROW()/100000,"")</f>
        <v/>
      </c>
      <c r="U207" s="9" t="n">
        <f aca="false">IF(N(K207)&gt;0,N(L207),0)</f>
        <v>0</v>
      </c>
      <c r="V207" s="9" t="n">
        <f aca="false">IF(AND(N(K207)&gt;0,ISNUMBER(M207)),M207-Setup!$C$11,99999)</f>
        <v>99999</v>
      </c>
    </row>
    <row r="208" customFormat="false" ht="15" hidden="false" customHeight="false" outlineLevel="0" collapsed="false">
      <c r="A208" s="40" t="str">
        <f aca="false">IF(D208="","",ROW()-7)</f>
        <v/>
      </c>
      <c r="B208" s="79"/>
      <c r="C208" s="75"/>
      <c r="D208" s="76"/>
      <c r="E208" s="80"/>
      <c r="F208" s="79"/>
      <c r="G208" s="76"/>
      <c r="H208" s="54" t="str">
        <f aca="false">IF(OR(D208="",B208=""),"",IF(F208&lt;&gt;"",F208,B208+IFERROR(INDEX(Suppliers!$Q$7:$Q$106,MATCH(D208,Suppliers!$B$7:$B$106,0)),Setup!$C$7)))</f>
        <v/>
      </c>
      <c r="I208" s="46" t="str">
        <f aca="false">IF(OR(D208="",C208=""),IF(D208="","",0),SUMIFS(Payments!$D$8:$D$507,Payments!$C$8:$C$507,D208,Payments!$F$8:$F$507,C208))</f>
        <v/>
      </c>
      <c r="J208" s="46" t="str">
        <f aca="false">IF(D208="","",MIN(P208,MAX(0,R208-Q208)))</f>
        <v/>
      </c>
      <c r="K208" s="47" t="str">
        <f aca="false">IF(D208="","",P208-J208)</f>
        <v/>
      </c>
      <c r="L208" s="55" t="str">
        <f aca="false">IF(OR(D208="",N(K208)&lt;=0,H208=""),"",MAX(0,Setup!$C$11-H208))</f>
        <v/>
      </c>
      <c r="M208" s="54" t="str">
        <f aca="false">IF(OR(D208="",B208=""),"",IF(IFERROR(INDEX(Suppliers!$S$7:$S$106,MATCH(D208,Suppliers!$B$7:$B$106,0)),"")="","–",B208+IFERROR(INDEX(Suppliers!$S$7:$S$106,MATCH(D208,Suppliers!$B$7:$B$106,0)),"")))</f>
        <v/>
      </c>
      <c r="N208" s="56" t="str">
        <f aca="false">IF(D208="","",IF(N(K208)&lt;=0,"Paid",IF(AND(ISNUMBER(M208),Setup!$C$11&gt;M208),"⚠ MSME late",IF(N(L208)&gt;0,"Overdue",IF(N(V208)&lt;=Setup!$C$9,"⚠ MSME due soon",IF(K208&lt;E208,"Part paid","Not due"))))))</f>
        <v/>
      </c>
      <c r="O208" s="50" t="str">
        <f aca="false">IF(AND(D208="",B208="",C208="",E208=""),"",IF(D208="","⚠ Pick supplier",IF(ISNA(MATCH(D208,Suppliers!$B$7:$B$106,0)),"⚠ Supplier not in list",IF(B208="","⚠ Enter bill date",IF(N(E208)&lt;=0,"⚠ Enter amount",IF(AND(C208&lt;&gt;"",COUNTIFS($D$8:$D$507,D208,$C$8:$C$507,C208)&gt;1),"⚠ Bill no. used twice",IF(N(I208)&gt;N(E208),"⚠ Paid more than bill","✔")))))))</f>
        <v/>
      </c>
      <c r="P208" s="9" t="n">
        <f aca="false">IF(D208="",0,MAX(0,N(E208)-N(I208)))</f>
        <v>0</v>
      </c>
      <c r="Q208" s="9" t="n">
        <f aca="false">IF(D208="",0,SUMIFS($P$8:$P$507,$D$8:$D$507,D208,$B$8:$B$507,"&lt;"&amp;B208)+SUMIFS($P$8:P207,$D$8:D207,D208,$B$8:B207,B208))</f>
        <v>0</v>
      </c>
      <c r="R208" s="9" t="n">
        <f aca="false">IF(D208="",0,IFERROR(INDEX(Suppliers!$R$7:$R$106,MATCH(D208,Suppliers!$B$7:$B$106,0)),0))</f>
        <v>0</v>
      </c>
      <c r="S208" s="9" t="str">
        <f aca="false">IF(N(K208)&gt;0,IF(H208="",99999,MIN(H208,IF(ISNUMBER(M208),M208,H208)))+ROW()/100000,"")</f>
        <v/>
      </c>
      <c r="U208" s="9" t="n">
        <f aca="false">IF(N(K208)&gt;0,N(L208),0)</f>
        <v>0</v>
      </c>
      <c r="V208" s="9" t="n">
        <f aca="false">IF(AND(N(K208)&gt;0,ISNUMBER(M208)),M208-Setup!$C$11,99999)</f>
        <v>99999</v>
      </c>
    </row>
    <row r="209" customFormat="false" ht="15" hidden="false" customHeight="false" outlineLevel="0" collapsed="false">
      <c r="A209" s="40" t="str">
        <f aca="false">IF(D209="","",ROW()-7)</f>
        <v/>
      </c>
      <c r="B209" s="79"/>
      <c r="C209" s="75"/>
      <c r="D209" s="76"/>
      <c r="E209" s="80"/>
      <c r="F209" s="79"/>
      <c r="G209" s="76"/>
      <c r="H209" s="54" t="str">
        <f aca="false">IF(OR(D209="",B209=""),"",IF(F209&lt;&gt;"",F209,B209+IFERROR(INDEX(Suppliers!$Q$7:$Q$106,MATCH(D209,Suppliers!$B$7:$B$106,0)),Setup!$C$7)))</f>
        <v/>
      </c>
      <c r="I209" s="46" t="str">
        <f aca="false">IF(OR(D209="",C209=""),IF(D209="","",0),SUMIFS(Payments!$D$8:$D$507,Payments!$C$8:$C$507,D209,Payments!$F$8:$F$507,C209))</f>
        <v/>
      </c>
      <c r="J209" s="46" t="str">
        <f aca="false">IF(D209="","",MIN(P209,MAX(0,R209-Q209)))</f>
        <v/>
      </c>
      <c r="K209" s="47" t="str">
        <f aca="false">IF(D209="","",P209-J209)</f>
        <v/>
      </c>
      <c r="L209" s="55" t="str">
        <f aca="false">IF(OR(D209="",N(K209)&lt;=0,H209=""),"",MAX(0,Setup!$C$11-H209))</f>
        <v/>
      </c>
      <c r="M209" s="54" t="str">
        <f aca="false">IF(OR(D209="",B209=""),"",IF(IFERROR(INDEX(Suppliers!$S$7:$S$106,MATCH(D209,Suppliers!$B$7:$B$106,0)),"")="","–",B209+IFERROR(INDEX(Suppliers!$S$7:$S$106,MATCH(D209,Suppliers!$B$7:$B$106,0)),"")))</f>
        <v/>
      </c>
      <c r="N209" s="56" t="str">
        <f aca="false">IF(D209="","",IF(N(K209)&lt;=0,"Paid",IF(AND(ISNUMBER(M209),Setup!$C$11&gt;M209),"⚠ MSME late",IF(N(L209)&gt;0,"Overdue",IF(N(V209)&lt;=Setup!$C$9,"⚠ MSME due soon",IF(K209&lt;E209,"Part paid","Not due"))))))</f>
        <v/>
      </c>
      <c r="O209" s="50" t="str">
        <f aca="false">IF(AND(D209="",B209="",C209="",E209=""),"",IF(D209="","⚠ Pick supplier",IF(ISNA(MATCH(D209,Suppliers!$B$7:$B$106,0)),"⚠ Supplier not in list",IF(B209="","⚠ Enter bill date",IF(N(E209)&lt;=0,"⚠ Enter amount",IF(AND(C209&lt;&gt;"",COUNTIFS($D$8:$D$507,D209,$C$8:$C$507,C209)&gt;1),"⚠ Bill no. used twice",IF(N(I209)&gt;N(E209),"⚠ Paid more than bill","✔")))))))</f>
        <v/>
      </c>
      <c r="P209" s="9" t="n">
        <f aca="false">IF(D209="",0,MAX(0,N(E209)-N(I209)))</f>
        <v>0</v>
      </c>
      <c r="Q209" s="9" t="n">
        <f aca="false">IF(D209="",0,SUMIFS($P$8:$P$507,$D$8:$D$507,D209,$B$8:$B$507,"&lt;"&amp;B209)+SUMIFS($P$8:P208,$D$8:D208,D209,$B$8:B208,B209))</f>
        <v>0</v>
      </c>
      <c r="R209" s="9" t="n">
        <f aca="false">IF(D209="",0,IFERROR(INDEX(Suppliers!$R$7:$R$106,MATCH(D209,Suppliers!$B$7:$B$106,0)),0))</f>
        <v>0</v>
      </c>
      <c r="S209" s="9" t="str">
        <f aca="false">IF(N(K209)&gt;0,IF(H209="",99999,MIN(H209,IF(ISNUMBER(M209),M209,H209)))+ROW()/100000,"")</f>
        <v/>
      </c>
      <c r="U209" s="9" t="n">
        <f aca="false">IF(N(K209)&gt;0,N(L209),0)</f>
        <v>0</v>
      </c>
      <c r="V209" s="9" t="n">
        <f aca="false">IF(AND(N(K209)&gt;0,ISNUMBER(M209)),M209-Setup!$C$11,99999)</f>
        <v>99999</v>
      </c>
    </row>
    <row r="210" customFormat="false" ht="15" hidden="false" customHeight="false" outlineLevel="0" collapsed="false">
      <c r="A210" s="40" t="str">
        <f aca="false">IF(D210="","",ROW()-7)</f>
        <v/>
      </c>
      <c r="B210" s="79"/>
      <c r="C210" s="75"/>
      <c r="D210" s="76"/>
      <c r="E210" s="80"/>
      <c r="F210" s="79"/>
      <c r="G210" s="76"/>
      <c r="H210" s="54" t="str">
        <f aca="false">IF(OR(D210="",B210=""),"",IF(F210&lt;&gt;"",F210,B210+IFERROR(INDEX(Suppliers!$Q$7:$Q$106,MATCH(D210,Suppliers!$B$7:$B$106,0)),Setup!$C$7)))</f>
        <v/>
      </c>
      <c r="I210" s="46" t="str">
        <f aca="false">IF(OR(D210="",C210=""),IF(D210="","",0),SUMIFS(Payments!$D$8:$D$507,Payments!$C$8:$C$507,D210,Payments!$F$8:$F$507,C210))</f>
        <v/>
      </c>
      <c r="J210" s="46" t="str">
        <f aca="false">IF(D210="","",MIN(P210,MAX(0,R210-Q210)))</f>
        <v/>
      </c>
      <c r="K210" s="47" t="str">
        <f aca="false">IF(D210="","",P210-J210)</f>
        <v/>
      </c>
      <c r="L210" s="55" t="str">
        <f aca="false">IF(OR(D210="",N(K210)&lt;=0,H210=""),"",MAX(0,Setup!$C$11-H210))</f>
        <v/>
      </c>
      <c r="M210" s="54" t="str">
        <f aca="false">IF(OR(D210="",B210=""),"",IF(IFERROR(INDEX(Suppliers!$S$7:$S$106,MATCH(D210,Suppliers!$B$7:$B$106,0)),"")="","–",B210+IFERROR(INDEX(Suppliers!$S$7:$S$106,MATCH(D210,Suppliers!$B$7:$B$106,0)),"")))</f>
        <v/>
      </c>
      <c r="N210" s="56" t="str">
        <f aca="false">IF(D210="","",IF(N(K210)&lt;=0,"Paid",IF(AND(ISNUMBER(M210),Setup!$C$11&gt;M210),"⚠ MSME late",IF(N(L210)&gt;0,"Overdue",IF(N(V210)&lt;=Setup!$C$9,"⚠ MSME due soon",IF(K210&lt;E210,"Part paid","Not due"))))))</f>
        <v/>
      </c>
      <c r="O210" s="50" t="str">
        <f aca="false">IF(AND(D210="",B210="",C210="",E210=""),"",IF(D210="","⚠ Pick supplier",IF(ISNA(MATCH(D210,Suppliers!$B$7:$B$106,0)),"⚠ Supplier not in list",IF(B210="","⚠ Enter bill date",IF(N(E210)&lt;=0,"⚠ Enter amount",IF(AND(C210&lt;&gt;"",COUNTIFS($D$8:$D$507,D210,$C$8:$C$507,C210)&gt;1),"⚠ Bill no. used twice",IF(N(I210)&gt;N(E210),"⚠ Paid more than bill","✔")))))))</f>
        <v/>
      </c>
      <c r="P210" s="9" t="n">
        <f aca="false">IF(D210="",0,MAX(0,N(E210)-N(I210)))</f>
        <v>0</v>
      </c>
      <c r="Q210" s="9" t="n">
        <f aca="false">IF(D210="",0,SUMIFS($P$8:$P$507,$D$8:$D$507,D210,$B$8:$B$507,"&lt;"&amp;B210)+SUMIFS($P$8:P209,$D$8:D209,D210,$B$8:B209,B210))</f>
        <v>0</v>
      </c>
      <c r="R210" s="9" t="n">
        <f aca="false">IF(D210="",0,IFERROR(INDEX(Suppliers!$R$7:$R$106,MATCH(D210,Suppliers!$B$7:$B$106,0)),0))</f>
        <v>0</v>
      </c>
      <c r="S210" s="9" t="str">
        <f aca="false">IF(N(K210)&gt;0,IF(H210="",99999,MIN(H210,IF(ISNUMBER(M210),M210,H210)))+ROW()/100000,"")</f>
        <v/>
      </c>
      <c r="U210" s="9" t="n">
        <f aca="false">IF(N(K210)&gt;0,N(L210),0)</f>
        <v>0</v>
      </c>
      <c r="V210" s="9" t="n">
        <f aca="false">IF(AND(N(K210)&gt;0,ISNUMBER(M210)),M210-Setup!$C$11,99999)</f>
        <v>99999</v>
      </c>
    </row>
    <row r="211" customFormat="false" ht="15" hidden="false" customHeight="false" outlineLevel="0" collapsed="false">
      <c r="A211" s="40" t="str">
        <f aca="false">IF(D211="","",ROW()-7)</f>
        <v/>
      </c>
      <c r="B211" s="79"/>
      <c r="C211" s="75"/>
      <c r="D211" s="76"/>
      <c r="E211" s="80"/>
      <c r="F211" s="79"/>
      <c r="G211" s="76"/>
      <c r="H211" s="54" t="str">
        <f aca="false">IF(OR(D211="",B211=""),"",IF(F211&lt;&gt;"",F211,B211+IFERROR(INDEX(Suppliers!$Q$7:$Q$106,MATCH(D211,Suppliers!$B$7:$B$106,0)),Setup!$C$7)))</f>
        <v/>
      </c>
      <c r="I211" s="46" t="str">
        <f aca="false">IF(OR(D211="",C211=""),IF(D211="","",0),SUMIFS(Payments!$D$8:$D$507,Payments!$C$8:$C$507,D211,Payments!$F$8:$F$507,C211))</f>
        <v/>
      </c>
      <c r="J211" s="46" t="str">
        <f aca="false">IF(D211="","",MIN(P211,MAX(0,R211-Q211)))</f>
        <v/>
      </c>
      <c r="K211" s="47" t="str">
        <f aca="false">IF(D211="","",P211-J211)</f>
        <v/>
      </c>
      <c r="L211" s="55" t="str">
        <f aca="false">IF(OR(D211="",N(K211)&lt;=0,H211=""),"",MAX(0,Setup!$C$11-H211))</f>
        <v/>
      </c>
      <c r="M211" s="54" t="str">
        <f aca="false">IF(OR(D211="",B211=""),"",IF(IFERROR(INDEX(Suppliers!$S$7:$S$106,MATCH(D211,Suppliers!$B$7:$B$106,0)),"")="","–",B211+IFERROR(INDEX(Suppliers!$S$7:$S$106,MATCH(D211,Suppliers!$B$7:$B$106,0)),"")))</f>
        <v/>
      </c>
      <c r="N211" s="56" t="str">
        <f aca="false">IF(D211="","",IF(N(K211)&lt;=0,"Paid",IF(AND(ISNUMBER(M211),Setup!$C$11&gt;M211),"⚠ MSME late",IF(N(L211)&gt;0,"Overdue",IF(N(V211)&lt;=Setup!$C$9,"⚠ MSME due soon",IF(K211&lt;E211,"Part paid","Not due"))))))</f>
        <v/>
      </c>
      <c r="O211" s="50" t="str">
        <f aca="false">IF(AND(D211="",B211="",C211="",E211=""),"",IF(D211="","⚠ Pick supplier",IF(ISNA(MATCH(D211,Suppliers!$B$7:$B$106,0)),"⚠ Supplier not in list",IF(B211="","⚠ Enter bill date",IF(N(E211)&lt;=0,"⚠ Enter amount",IF(AND(C211&lt;&gt;"",COUNTIFS($D$8:$D$507,D211,$C$8:$C$507,C211)&gt;1),"⚠ Bill no. used twice",IF(N(I211)&gt;N(E211),"⚠ Paid more than bill","✔")))))))</f>
        <v/>
      </c>
      <c r="P211" s="9" t="n">
        <f aca="false">IF(D211="",0,MAX(0,N(E211)-N(I211)))</f>
        <v>0</v>
      </c>
      <c r="Q211" s="9" t="n">
        <f aca="false">IF(D211="",0,SUMIFS($P$8:$P$507,$D$8:$D$507,D211,$B$8:$B$507,"&lt;"&amp;B211)+SUMIFS($P$8:P210,$D$8:D210,D211,$B$8:B210,B211))</f>
        <v>0</v>
      </c>
      <c r="R211" s="9" t="n">
        <f aca="false">IF(D211="",0,IFERROR(INDEX(Suppliers!$R$7:$R$106,MATCH(D211,Suppliers!$B$7:$B$106,0)),0))</f>
        <v>0</v>
      </c>
      <c r="S211" s="9" t="str">
        <f aca="false">IF(N(K211)&gt;0,IF(H211="",99999,MIN(H211,IF(ISNUMBER(M211),M211,H211)))+ROW()/100000,"")</f>
        <v/>
      </c>
      <c r="U211" s="9" t="n">
        <f aca="false">IF(N(K211)&gt;0,N(L211),0)</f>
        <v>0</v>
      </c>
      <c r="V211" s="9" t="n">
        <f aca="false">IF(AND(N(K211)&gt;0,ISNUMBER(M211)),M211-Setup!$C$11,99999)</f>
        <v>99999</v>
      </c>
    </row>
    <row r="212" customFormat="false" ht="15" hidden="false" customHeight="false" outlineLevel="0" collapsed="false">
      <c r="A212" s="40" t="str">
        <f aca="false">IF(D212="","",ROW()-7)</f>
        <v/>
      </c>
      <c r="B212" s="79"/>
      <c r="C212" s="75"/>
      <c r="D212" s="76"/>
      <c r="E212" s="80"/>
      <c r="F212" s="79"/>
      <c r="G212" s="76"/>
      <c r="H212" s="54" t="str">
        <f aca="false">IF(OR(D212="",B212=""),"",IF(F212&lt;&gt;"",F212,B212+IFERROR(INDEX(Suppliers!$Q$7:$Q$106,MATCH(D212,Suppliers!$B$7:$B$106,0)),Setup!$C$7)))</f>
        <v/>
      </c>
      <c r="I212" s="46" t="str">
        <f aca="false">IF(OR(D212="",C212=""),IF(D212="","",0),SUMIFS(Payments!$D$8:$D$507,Payments!$C$8:$C$507,D212,Payments!$F$8:$F$507,C212))</f>
        <v/>
      </c>
      <c r="J212" s="46" t="str">
        <f aca="false">IF(D212="","",MIN(P212,MAX(0,R212-Q212)))</f>
        <v/>
      </c>
      <c r="K212" s="47" t="str">
        <f aca="false">IF(D212="","",P212-J212)</f>
        <v/>
      </c>
      <c r="L212" s="55" t="str">
        <f aca="false">IF(OR(D212="",N(K212)&lt;=0,H212=""),"",MAX(0,Setup!$C$11-H212))</f>
        <v/>
      </c>
      <c r="M212" s="54" t="str">
        <f aca="false">IF(OR(D212="",B212=""),"",IF(IFERROR(INDEX(Suppliers!$S$7:$S$106,MATCH(D212,Suppliers!$B$7:$B$106,0)),"")="","–",B212+IFERROR(INDEX(Suppliers!$S$7:$S$106,MATCH(D212,Suppliers!$B$7:$B$106,0)),"")))</f>
        <v/>
      </c>
      <c r="N212" s="56" t="str">
        <f aca="false">IF(D212="","",IF(N(K212)&lt;=0,"Paid",IF(AND(ISNUMBER(M212),Setup!$C$11&gt;M212),"⚠ MSME late",IF(N(L212)&gt;0,"Overdue",IF(N(V212)&lt;=Setup!$C$9,"⚠ MSME due soon",IF(K212&lt;E212,"Part paid","Not due"))))))</f>
        <v/>
      </c>
      <c r="O212" s="50" t="str">
        <f aca="false">IF(AND(D212="",B212="",C212="",E212=""),"",IF(D212="","⚠ Pick supplier",IF(ISNA(MATCH(D212,Suppliers!$B$7:$B$106,0)),"⚠ Supplier not in list",IF(B212="","⚠ Enter bill date",IF(N(E212)&lt;=0,"⚠ Enter amount",IF(AND(C212&lt;&gt;"",COUNTIFS($D$8:$D$507,D212,$C$8:$C$507,C212)&gt;1),"⚠ Bill no. used twice",IF(N(I212)&gt;N(E212),"⚠ Paid more than bill","✔")))))))</f>
        <v/>
      </c>
      <c r="P212" s="9" t="n">
        <f aca="false">IF(D212="",0,MAX(0,N(E212)-N(I212)))</f>
        <v>0</v>
      </c>
      <c r="Q212" s="9" t="n">
        <f aca="false">IF(D212="",0,SUMIFS($P$8:$P$507,$D$8:$D$507,D212,$B$8:$B$507,"&lt;"&amp;B212)+SUMIFS($P$8:P211,$D$8:D211,D212,$B$8:B211,B212))</f>
        <v>0</v>
      </c>
      <c r="R212" s="9" t="n">
        <f aca="false">IF(D212="",0,IFERROR(INDEX(Suppliers!$R$7:$R$106,MATCH(D212,Suppliers!$B$7:$B$106,0)),0))</f>
        <v>0</v>
      </c>
      <c r="S212" s="9" t="str">
        <f aca="false">IF(N(K212)&gt;0,IF(H212="",99999,MIN(H212,IF(ISNUMBER(M212),M212,H212)))+ROW()/100000,"")</f>
        <v/>
      </c>
      <c r="U212" s="9" t="n">
        <f aca="false">IF(N(K212)&gt;0,N(L212),0)</f>
        <v>0</v>
      </c>
      <c r="V212" s="9" t="n">
        <f aca="false">IF(AND(N(K212)&gt;0,ISNUMBER(M212)),M212-Setup!$C$11,99999)</f>
        <v>99999</v>
      </c>
    </row>
    <row r="213" customFormat="false" ht="15" hidden="false" customHeight="false" outlineLevel="0" collapsed="false">
      <c r="A213" s="40" t="str">
        <f aca="false">IF(D213="","",ROW()-7)</f>
        <v/>
      </c>
      <c r="B213" s="79"/>
      <c r="C213" s="75"/>
      <c r="D213" s="76"/>
      <c r="E213" s="80"/>
      <c r="F213" s="79"/>
      <c r="G213" s="76"/>
      <c r="H213" s="54" t="str">
        <f aca="false">IF(OR(D213="",B213=""),"",IF(F213&lt;&gt;"",F213,B213+IFERROR(INDEX(Suppliers!$Q$7:$Q$106,MATCH(D213,Suppliers!$B$7:$B$106,0)),Setup!$C$7)))</f>
        <v/>
      </c>
      <c r="I213" s="46" t="str">
        <f aca="false">IF(OR(D213="",C213=""),IF(D213="","",0),SUMIFS(Payments!$D$8:$D$507,Payments!$C$8:$C$507,D213,Payments!$F$8:$F$507,C213))</f>
        <v/>
      </c>
      <c r="J213" s="46" t="str">
        <f aca="false">IF(D213="","",MIN(P213,MAX(0,R213-Q213)))</f>
        <v/>
      </c>
      <c r="K213" s="47" t="str">
        <f aca="false">IF(D213="","",P213-J213)</f>
        <v/>
      </c>
      <c r="L213" s="55" t="str">
        <f aca="false">IF(OR(D213="",N(K213)&lt;=0,H213=""),"",MAX(0,Setup!$C$11-H213))</f>
        <v/>
      </c>
      <c r="M213" s="54" t="str">
        <f aca="false">IF(OR(D213="",B213=""),"",IF(IFERROR(INDEX(Suppliers!$S$7:$S$106,MATCH(D213,Suppliers!$B$7:$B$106,0)),"")="","–",B213+IFERROR(INDEX(Suppliers!$S$7:$S$106,MATCH(D213,Suppliers!$B$7:$B$106,0)),"")))</f>
        <v/>
      </c>
      <c r="N213" s="56" t="str">
        <f aca="false">IF(D213="","",IF(N(K213)&lt;=0,"Paid",IF(AND(ISNUMBER(M213),Setup!$C$11&gt;M213),"⚠ MSME late",IF(N(L213)&gt;0,"Overdue",IF(N(V213)&lt;=Setup!$C$9,"⚠ MSME due soon",IF(K213&lt;E213,"Part paid","Not due"))))))</f>
        <v/>
      </c>
      <c r="O213" s="50" t="str">
        <f aca="false">IF(AND(D213="",B213="",C213="",E213=""),"",IF(D213="","⚠ Pick supplier",IF(ISNA(MATCH(D213,Suppliers!$B$7:$B$106,0)),"⚠ Supplier not in list",IF(B213="","⚠ Enter bill date",IF(N(E213)&lt;=0,"⚠ Enter amount",IF(AND(C213&lt;&gt;"",COUNTIFS($D$8:$D$507,D213,$C$8:$C$507,C213)&gt;1),"⚠ Bill no. used twice",IF(N(I213)&gt;N(E213),"⚠ Paid more than bill","✔")))))))</f>
        <v/>
      </c>
      <c r="P213" s="9" t="n">
        <f aca="false">IF(D213="",0,MAX(0,N(E213)-N(I213)))</f>
        <v>0</v>
      </c>
      <c r="Q213" s="9" t="n">
        <f aca="false">IF(D213="",0,SUMIFS($P$8:$P$507,$D$8:$D$507,D213,$B$8:$B$507,"&lt;"&amp;B213)+SUMIFS($P$8:P212,$D$8:D212,D213,$B$8:B212,B213))</f>
        <v>0</v>
      </c>
      <c r="R213" s="9" t="n">
        <f aca="false">IF(D213="",0,IFERROR(INDEX(Suppliers!$R$7:$R$106,MATCH(D213,Suppliers!$B$7:$B$106,0)),0))</f>
        <v>0</v>
      </c>
      <c r="S213" s="9" t="str">
        <f aca="false">IF(N(K213)&gt;0,IF(H213="",99999,MIN(H213,IF(ISNUMBER(M213),M213,H213)))+ROW()/100000,"")</f>
        <v/>
      </c>
      <c r="U213" s="9" t="n">
        <f aca="false">IF(N(K213)&gt;0,N(L213),0)</f>
        <v>0</v>
      </c>
      <c r="V213" s="9" t="n">
        <f aca="false">IF(AND(N(K213)&gt;0,ISNUMBER(M213)),M213-Setup!$C$11,99999)</f>
        <v>99999</v>
      </c>
    </row>
    <row r="214" customFormat="false" ht="15" hidden="false" customHeight="false" outlineLevel="0" collapsed="false">
      <c r="A214" s="40" t="str">
        <f aca="false">IF(D214="","",ROW()-7)</f>
        <v/>
      </c>
      <c r="B214" s="79"/>
      <c r="C214" s="75"/>
      <c r="D214" s="76"/>
      <c r="E214" s="80"/>
      <c r="F214" s="79"/>
      <c r="G214" s="76"/>
      <c r="H214" s="54" t="str">
        <f aca="false">IF(OR(D214="",B214=""),"",IF(F214&lt;&gt;"",F214,B214+IFERROR(INDEX(Suppliers!$Q$7:$Q$106,MATCH(D214,Suppliers!$B$7:$B$106,0)),Setup!$C$7)))</f>
        <v/>
      </c>
      <c r="I214" s="46" t="str">
        <f aca="false">IF(OR(D214="",C214=""),IF(D214="","",0),SUMIFS(Payments!$D$8:$D$507,Payments!$C$8:$C$507,D214,Payments!$F$8:$F$507,C214))</f>
        <v/>
      </c>
      <c r="J214" s="46" t="str">
        <f aca="false">IF(D214="","",MIN(P214,MAX(0,R214-Q214)))</f>
        <v/>
      </c>
      <c r="K214" s="47" t="str">
        <f aca="false">IF(D214="","",P214-J214)</f>
        <v/>
      </c>
      <c r="L214" s="55" t="str">
        <f aca="false">IF(OR(D214="",N(K214)&lt;=0,H214=""),"",MAX(0,Setup!$C$11-H214))</f>
        <v/>
      </c>
      <c r="M214" s="54" t="str">
        <f aca="false">IF(OR(D214="",B214=""),"",IF(IFERROR(INDEX(Suppliers!$S$7:$S$106,MATCH(D214,Suppliers!$B$7:$B$106,0)),"")="","–",B214+IFERROR(INDEX(Suppliers!$S$7:$S$106,MATCH(D214,Suppliers!$B$7:$B$106,0)),"")))</f>
        <v/>
      </c>
      <c r="N214" s="56" t="str">
        <f aca="false">IF(D214="","",IF(N(K214)&lt;=0,"Paid",IF(AND(ISNUMBER(M214),Setup!$C$11&gt;M214),"⚠ MSME late",IF(N(L214)&gt;0,"Overdue",IF(N(V214)&lt;=Setup!$C$9,"⚠ MSME due soon",IF(K214&lt;E214,"Part paid","Not due"))))))</f>
        <v/>
      </c>
      <c r="O214" s="50" t="str">
        <f aca="false">IF(AND(D214="",B214="",C214="",E214=""),"",IF(D214="","⚠ Pick supplier",IF(ISNA(MATCH(D214,Suppliers!$B$7:$B$106,0)),"⚠ Supplier not in list",IF(B214="","⚠ Enter bill date",IF(N(E214)&lt;=0,"⚠ Enter amount",IF(AND(C214&lt;&gt;"",COUNTIFS($D$8:$D$507,D214,$C$8:$C$507,C214)&gt;1),"⚠ Bill no. used twice",IF(N(I214)&gt;N(E214),"⚠ Paid more than bill","✔")))))))</f>
        <v/>
      </c>
      <c r="P214" s="9" t="n">
        <f aca="false">IF(D214="",0,MAX(0,N(E214)-N(I214)))</f>
        <v>0</v>
      </c>
      <c r="Q214" s="9" t="n">
        <f aca="false">IF(D214="",0,SUMIFS($P$8:$P$507,$D$8:$D$507,D214,$B$8:$B$507,"&lt;"&amp;B214)+SUMIFS($P$8:P213,$D$8:D213,D214,$B$8:B213,B214))</f>
        <v>0</v>
      </c>
      <c r="R214" s="9" t="n">
        <f aca="false">IF(D214="",0,IFERROR(INDEX(Suppliers!$R$7:$R$106,MATCH(D214,Suppliers!$B$7:$B$106,0)),0))</f>
        <v>0</v>
      </c>
      <c r="S214" s="9" t="str">
        <f aca="false">IF(N(K214)&gt;0,IF(H214="",99999,MIN(H214,IF(ISNUMBER(M214),M214,H214)))+ROW()/100000,"")</f>
        <v/>
      </c>
      <c r="U214" s="9" t="n">
        <f aca="false">IF(N(K214)&gt;0,N(L214),0)</f>
        <v>0</v>
      </c>
      <c r="V214" s="9" t="n">
        <f aca="false">IF(AND(N(K214)&gt;0,ISNUMBER(M214)),M214-Setup!$C$11,99999)</f>
        <v>99999</v>
      </c>
    </row>
    <row r="215" customFormat="false" ht="15" hidden="false" customHeight="false" outlineLevel="0" collapsed="false">
      <c r="A215" s="40" t="str">
        <f aca="false">IF(D215="","",ROW()-7)</f>
        <v/>
      </c>
      <c r="B215" s="79"/>
      <c r="C215" s="75"/>
      <c r="D215" s="76"/>
      <c r="E215" s="80"/>
      <c r="F215" s="79"/>
      <c r="G215" s="76"/>
      <c r="H215" s="54" t="str">
        <f aca="false">IF(OR(D215="",B215=""),"",IF(F215&lt;&gt;"",F215,B215+IFERROR(INDEX(Suppliers!$Q$7:$Q$106,MATCH(D215,Suppliers!$B$7:$B$106,0)),Setup!$C$7)))</f>
        <v/>
      </c>
      <c r="I215" s="46" t="str">
        <f aca="false">IF(OR(D215="",C215=""),IF(D215="","",0),SUMIFS(Payments!$D$8:$D$507,Payments!$C$8:$C$507,D215,Payments!$F$8:$F$507,C215))</f>
        <v/>
      </c>
      <c r="J215" s="46" t="str">
        <f aca="false">IF(D215="","",MIN(P215,MAX(0,R215-Q215)))</f>
        <v/>
      </c>
      <c r="K215" s="47" t="str">
        <f aca="false">IF(D215="","",P215-J215)</f>
        <v/>
      </c>
      <c r="L215" s="55" t="str">
        <f aca="false">IF(OR(D215="",N(K215)&lt;=0,H215=""),"",MAX(0,Setup!$C$11-H215))</f>
        <v/>
      </c>
      <c r="M215" s="54" t="str">
        <f aca="false">IF(OR(D215="",B215=""),"",IF(IFERROR(INDEX(Suppliers!$S$7:$S$106,MATCH(D215,Suppliers!$B$7:$B$106,0)),"")="","–",B215+IFERROR(INDEX(Suppliers!$S$7:$S$106,MATCH(D215,Suppliers!$B$7:$B$106,0)),"")))</f>
        <v/>
      </c>
      <c r="N215" s="56" t="str">
        <f aca="false">IF(D215="","",IF(N(K215)&lt;=0,"Paid",IF(AND(ISNUMBER(M215),Setup!$C$11&gt;M215),"⚠ MSME late",IF(N(L215)&gt;0,"Overdue",IF(N(V215)&lt;=Setup!$C$9,"⚠ MSME due soon",IF(K215&lt;E215,"Part paid","Not due"))))))</f>
        <v/>
      </c>
      <c r="O215" s="50" t="str">
        <f aca="false">IF(AND(D215="",B215="",C215="",E215=""),"",IF(D215="","⚠ Pick supplier",IF(ISNA(MATCH(D215,Suppliers!$B$7:$B$106,0)),"⚠ Supplier not in list",IF(B215="","⚠ Enter bill date",IF(N(E215)&lt;=0,"⚠ Enter amount",IF(AND(C215&lt;&gt;"",COUNTIFS($D$8:$D$507,D215,$C$8:$C$507,C215)&gt;1),"⚠ Bill no. used twice",IF(N(I215)&gt;N(E215),"⚠ Paid more than bill","✔")))))))</f>
        <v/>
      </c>
      <c r="P215" s="9" t="n">
        <f aca="false">IF(D215="",0,MAX(0,N(E215)-N(I215)))</f>
        <v>0</v>
      </c>
      <c r="Q215" s="9" t="n">
        <f aca="false">IF(D215="",0,SUMIFS($P$8:$P$507,$D$8:$D$507,D215,$B$8:$B$507,"&lt;"&amp;B215)+SUMIFS($P$8:P214,$D$8:D214,D215,$B$8:B214,B215))</f>
        <v>0</v>
      </c>
      <c r="R215" s="9" t="n">
        <f aca="false">IF(D215="",0,IFERROR(INDEX(Suppliers!$R$7:$R$106,MATCH(D215,Suppliers!$B$7:$B$106,0)),0))</f>
        <v>0</v>
      </c>
      <c r="S215" s="9" t="str">
        <f aca="false">IF(N(K215)&gt;0,IF(H215="",99999,MIN(H215,IF(ISNUMBER(M215),M215,H215)))+ROW()/100000,"")</f>
        <v/>
      </c>
      <c r="U215" s="9" t="n">
        <f aca="false">IF(N(K215)&gt;0,N(L215),0)</f>
        <v>0</v>
      </c>
      <c r="V215" s="9" t="n">
        <f aca="false">IF(AND(N(K215)&gt;0,ISNUMBER(M215)),M215-Setup!$C$11,99999)</f>
        <v>99999</v>
      </c>
    </row>
    <row r="216" customFormat="false" ht="15" hidden="false" customHeight="false" outlineLevel="0" collapsed="false">
      <c r="A216" s="40" t="str">
        <f aca="false">IF(D216="","",ROW()-7)</f>
        <v/>
      </c>
      <c r="B216" s="79"/>
      <c r="C216" s="75"/>
      <c r="D216" s="76"/>
      <c r="E216" s="80"/>
      <c r="F216" s="79"/>
      <c r="G216" s="76"/>
      <c r="H216" s="54" t="str">
        <f aca="false">IF(OR(D216="",B216=""),"",IF(F216&lt;&gt;"",F216,B216+IFERROR(INDEX(Suppliers!$Q$7:$Q$106,MATCH(D216,Suppliers!$B$7:$B$106,0)),Setup!$C$7)))</f>
        <v/>
      </c>
      <c r="I216" s="46" t="str">
        <f aca="false">IF(OR(D216="",C216=""),IF(D216="","",0),SUMIFS(Payments!$D$8:$D$507,Payments!$C$8:$C$507,D216,Payments!$F$8:$F$507,C216))</f>
        <v/>
      </c>
      <c r="J216" s="46" t="str">
        <f aca="false">IF(D216="","",MIN(P216,MAX(0,R216-Q216)))</f>
        <v/>
      </c>
      <c r="K216" s="47" t="str">
        <f aca="false">IF(D216="","",P216-J216)</f>
        <v/>
      </c>
      <c r="L216" s="55" t="str">
        <f aca="false">IF(OR(D216="",N(K216)&lt;=0,H216=""),"",MAX(0,Setup!$C$11-H216))</f>
        <v/>
      </c>
      <c r="M216" s="54" t="str">
        <f aca="false">IF(OR(D216="",B216=""),"",IF(IFERROR(INDEX(Suppliers!$S$7:$S$106,MATCH(D216,Suppliers!$B$7:$B$106,0)),"")="","–",B216+IFERROR(INDEX(Suppliers!$S$7:$S$106,MATCH(D216,Suppliers!$B$7:$B$106,0)),"")))</f>
        <v/>
      </c>
      <c r="N216" s="56" t="str">
        <f aca="false">IF(D216="","",IF(N(K216)&lt;=0,"Paid",IF(AND(ISNUMBER(M216),Setup!$C$11&gt;M216),"⚠ MSME late",IF(N(L216)&gt;0,"Overdue",IF(N(V216)&lt;=Setup!$C$9,"⚠ MSME due soon",IF(K216&lt;E216,"Part paid","Not due"))))))</f>
        <v/>
      </c>
      <c r="O216" s="50" t="str">
        <f aca="false">IF(AND(D216="",B216="",C216="",E216=""),"",IF(D216="","⚠ Pick supplier",IF(ISNA(MATCH(D216,Suppliers!$B$7:$B$106,0)),"⚠ Supplier not in list",IF(B216="","⚠ Enter bill date",IF(N(E216)&lt;=0,"⚠ Enter amount",IF(AND(C216&lt;&gt;"",COUNTIFS($D$8:$D$507,D216,$C$8:$C$507,C216)&gt;1),"⚠ Bill no. used twice",IF(N(I216)&gt;N(E216),"⚠ Paid more than bill","✔")))))))</f>
        <v/>
      </c>
      <c r="P216" s="9" t="n">
        <f aca="false">IF(D216="",0,MAX(0,N(E216)-N(I216)))</f>
        <v>0</v>
      </c>
      <c r="Q216" s="9" t="n">
        <f aca="false">IF(D216="",0,SUMIFS($P$8:$P$507,$D$8:$D$507,D216,$B$8:$B$507,"&lt;"&amp;B216)+SUMIFS($P$8:P215,$D$8:D215,D216,$B$8:B215,B216))</f>
        <v>0</v>
      </c>
      <c r="R216" s="9" t="n">
        <f aca="false">IF(D216="",0,IFERROR(INDEX(Suppliers!$R$7:$R$106,MATCH(D216,Suppliers!$B$7:$B$106,0)),0))</f>
        <v>0</v>
      </c>
      <c r="S216" s="9" t="str">
        <f aca="false">IF(N(K216)&gt;0,IF(H216="",99999,MIN(H216,IF(ISNUMBER(M216),M216,H216)))+ROW()/100000,"")</f>
        <v/>
      </c>
      <c r="U216" s="9" t="n">
        <f aca="false">IF(N(K216)&gt;0,N(L216),0)</f>
        <v>0</v>
      </c>
      <c r="V216" s="9" t="n">
        <f aca="false">IF(AND(N(K216)&gt;0,ISNUMBER(M216)),M216-Setup!$C$11,99999)</f>
        <v>99999</v>
      </c>
    </row>
    <row r="217" customFormat="false" ht="15" hidden="false" customHeight="false" outlineLevel="0" collapsed="false">
      <c r="A217" s="40" t="str">
        <f aca="false">IF(D217="","",ROW()-7)</f>
        <v/>
      </c>
      <c r="B217" s="79"/>
      <c r="C217" s="75"/>
      <c r="D217" s="76"/>
      <c r="E217" s="80"/>
      <c r="F217" s="79"/>
      <c r="G217" s="76"/>
      <c r="H217" s="54" t="str">
        <f aca="false">IF(OR(D217="",B217=""),"",IF(F217&lt;&gt;"",F217,B217+IFERROR(INDEX(Suppliers!$Q$7:$Q$106,MATCH(D217,Suppliers!$B$7:$B$106,0)),Setup!$C$7)))</f>
        <v/>
      </c>
      <c r="I217" s="46" t="str">
        <f aca="false">IF(OR(D217="",C217=""),IF(D217="","",0),SUMIFS(Payments!$D$8:$D$507,Payments!$C$8:$C$507,D217,Payments!$F$8:$F$507,C217))</f>
        <v/>
      </c>
      <c r="J217" s="46" t="str">
        <f aca="false">IF(D217="","",MIN(P217,MAX(0,R217-Q217)))</f>
        <v/>
      </c>
      <c r="K217" s="47" t="str">
        <f aca="false">IF(D217="","",P217-J217)</f>
        <v/>
      </c>
      <c r="L217" s="55" t="str">
        <f aca="false">IF(OR(D217="",N(K217)&lt;=0,H217=""),"",MAX(0,Setup!$C$11-H217))</f>
        <v/>
      </c>
      <c r="M217" s="54" t="str">
        <f aca="false">IF(OR(D217="",B217=""),"",IF(IFERROR(INDEX(Suppliers!$S$7:$S$106,MATCH(D217,Suppliers!$B$7:$B$106,0)),"")="","–",B217+IFERROR(INDEX(Suppliers!$S$7:$S$106,MATCH(D217,Suppliers!$B$7:$B$106,0)),"")))</f>
        <v/>
      </c>
      <c r="N217" s="56" t="str">
        <f aca="false">IF(D217="","",IF(N(K217)&lt;=0,"Paid",IF(AND(ISNUMBER(M217),Setup!$C$11&gt;M217),"⚠ MSME late",IF(N(L217)&gt;0,"Overdue",IF(N(V217)&lt;=Setup!$C$9,"⚠ MSME due soon",IF(K217&lt;E217,"Part paid","Not due"))))))</f>
        <v/>
      </c>
      <c r="O217" s="50" t="str">
        <f aca="false">IF(AND(D217="",B217="",C217="",E217=""),"",IF(D217="","⚠ Pick supplier",IF(ISNA(MATCH(D217,Suppliers!$B$7:$B$106,0)),"⚠ Supplier not in list",IF(B217="","⚠ Enter bill date",IF(N(E217)&lt;=0,"⚠ Enter amount",IF(AND(C217&lt;&gt;"",COUNTIFS($D$8:$D$507,D217,$C$8:$C$507,C217)&gt;1),"⚠ Bill no. used twice",IF(N(I217)&gt;N(E217),"⚠ Paid more than bill","✔")))))))</f>
        <v/>
      </c>
      <c r="P217" s="9" t="n">
        <f aca="false">IF(D217="",0,MAX(0,N(E217)-N(I217)))</f>
        <v>0</v>
      </c>
      <c r="Q217" s="9" t="n">
        <f aca="false">IF(D217="",0,SUMIFS($P$8:$P$507,$D$8:$D$507,D217,$B$8:$B$507,"&lt;"&amp;B217)+SUMIFS($P$8:P216,$D$8:D216,D217,$B$8:B216,B217))</f>
        <v>0</v>
      </c>
      <c r="R217" s="9" t="n">
        <f aca="false">IF(D217="",0,IFERROR(INDEX(Suppliers!$R$7:$R$106,MATCH(D217,Suppliers!$B$7:$B$106,0)),0))</f>
        <v>0</v>
      </c>
      <c r="S217" s="9" t="str">
        <f aca="false">IF(N(K217)&gt;0,IF(H217="",99999,MIN(H217,IF(ISNUMBER(M217),M217,H217)))+ROW()/100000,"")</f>
        <v/>
      </c>
      <c r="U217" s="9" t="n">
        <f aca="false">IF(N(K217)&gt;0,N(L217),0)</f>
        <v>0</v>
      </c>
      <c r="V217" s="9" t="n">
        <f aca="false">IF(AND(N(K217)&gt;0,ISNUMBER(M217)),M217-Setup!$C$11,99999)</f>
        <v>99999</v>
      </c>
    </row>
    <row r="218" customFormat="false" ht="15" hidden="false" customHeight="false" outlineLevel="0" collapsed="false">
      <c r="A218" s="40" t="str">
        <f aca="false">IF(D218="","",ROW()-7)</f>
        <v/>
      </c>
      <c r="B218" s="79"/>
      <c r="C218" s="75"/>
      <c r="D218" s="76"/>
      <c r="E218" s="80"/>
      <c r="F218" s="79"/>
      <c r="G218" s="76"/>
      <c r="H218" s="54" t="str">
        <f aca="false">IF(OR(D218="",B218=""),"",IF(F218&lt;&gt;"",F218,B218+IFERROR(INDEX(Suppliers!$Q$7:$Q$106,MATCH(D218,Suppliers!$B$7:$B$106,0)),Setup!$C$7)))</f>
        <v/>
      </c>
      <c r="I218" s="46" t="str">
        <f aca="false">IF(OR(D218="",C218=""),IF(D218="","",0),SUMIFS(Payments!$D$8:$D$507,Payments!$C$8:$C$507,D218,Payments!$F$8:$F$507,C218))</f>
        <v/>
      </c>
      <c r="J218" s="46" t="str">
        <f aca="false">IF(D218="","",MIN(P218,MAX(0,R218-Q218)))</f>
        <v/>
      </c>
      <c r="K218" s="47" t="str">
        <f aca="false">IF(D218="","",P218-J218)</f>
        <v/>
      </c>
      <c r="L218" s="55" t="str">
        <f aca="false">IF(OR(D218="",N(K218)&lt;=0,H218=""),"",MAX(0,Setup!$C$11-H218))</f>
        <v/>
      </c>
      <c r="M218" s="54" t="str">
        <f aca="false">IF(OR(D218="",B218=""),"",IF(IFERROR(INDEX(Suppliers!$S$7:$S$106,MATCH(D218,Suppliers!$B$7:$B$106,0)),"")="","–",B218+IFERROR(INDEX(Suppliers!$S$7:$S$106,MATCH(D218,Suppliers!$B$7:$B$106,0)),"")))</f>
        <v/>
      </c>
      <c r="N218" s="56" t="str">
        <f aca="false">IF(D218="","",IF(N(K218)&lt;=0,"Paid",IF(AND(ISNUMBER(M218),Setup!$C$11&gt;M218),"⚠ MSME late",IF(N(L218)&gt;0,"Overdue",IF(N(V218)&lt;=Setup!$C$9,"⚠ MSME due soon",IF(K218&lt;E218,"Part paid","Not due"))))))</f>
        <v/>
      </c>
      <c r="O218" s="50" t="str">
        <f aca="false">IF(AND(D218="",B218="",C218="",E218=""),"",IF(D218="","⚠ Pick supplier",IF(ISNA(MATCH(D218,Suppliers!$B$7:$B$106,0)),"⚠ Supplier not in list",IF(B218="","⚠ Enter bill date",IF(N(E218)&lt;=0,"⚠ Enter amount",IF(AND(C218&lt;&gt;"",COUNTIFS($D$8:$D$507,D218,$C$8:$C$507,C218)&gt;1),"⚠ Bill no. used twice",IF(N(I218)&gt;N(E218),"⚠ Paid more than bill","✔")))))))</f>
        <v/>
      </c>
      <c r="P218" s="9" t="n">
        <f aca="false">IF(D218="",0,MAX(0,N(E218)-N(I218)))</f>
        <v>0</v>
      </c>
      <c r="Q218" s="9" t="n">
        <f aca="false">IF(D218="",0,SUMIFS($P$8:$P$507,$D$8:$D$507,D218,$B$8:$B$507,"&lt;"&amp;B218)+SUMIFS($P$8:P217,$D$8:D217,D218,$B$8:B217,B218))</f>
        <v>0</v>
      </c>
      <c r="R218" s="9" t="n">
        <f aca="false">IF(D218="",0,IFERROR(INDEX(Suppliers!$R$7:$R$106,MATCH(D218,Suppliers!$B$7:$B$106,0)),0))</f>
        <v>0</v>
      </c>
      <c r="S218" s="9" t="str">
        <f aca="false">IF(N(K218)&gt;0,IF(H218="",99999,MIN(H218,IF(ISNUMBER(M218),M218,H218)))+ROW()/100000,"")</f>
        <v/>
      </c>
      <c r="U218" s="9" t="n">
        <f aca="false">IF(N(K218)&gt;0,N(L218),0)</f>
        <v>0</v>
      </c>
      <c r="V218" s="9" t="n">
        <f aca="false">IF(AND(N(K218)&gt;0,ISNUMBER(M218)),M218-Setup!$C$11,99999)</f>
        <v>99999</v>
      </c>
    </row>
    <row r="219" customFormat="false" ht="15" hidden="false" customHeight="false" outlineLevel="0" collapsed="false">
      <c r="A219" s="40" t="str">
        <f aca="false">IF(D219="","",ROW()-7)</f>
        <v/>
      </c>
      <c r="B219" s="79"/>
      <c r="C219" s="75"/>
      <c r="D219" s="76"/>
      <c r="E219" s="80"/>
      <c r="F219" s="79"/>
      <c r="G219" s="76"/>
      <c r="H219" s="54" t="str">
        <f aca="false">IF(OR(D219="",B219=""),"",IF(F219&lt;&gt;"",F219,B219+IFERROR(INDEX(Suppliers!$Q$7:$Q$106,MATCH(D219,Suppliers!$B$7:$B$106,0)),Setup!$C$7)))</f>
        <v/>
      </c>
      <c r="I219" s="46" t="str">
        <f aca="false">IF(OR(D219="",C219=""),IF(D219="","",0),SUMIFS(Payments!$D$8:$D$507,Payments!$C$8:$C$507,D219,Payments!$F$8:$F$507,C219))</f>
        <v/>
      </c>
      <c r="J219" s="46" t="str">
        <f aca="false">IF(D219="","",MIN(P219,MAX(0,R219-Q219)))</f>
        <v/>
      </c>
      <c r="K219" s="47" t="str">
        <f aca="false">IF(D219="","",P219-J219)</f>
        <v/>
      </c>
      <c r="L219" s="55" t="str">
        <f aca="false">IF(OR(D219="",N(K219)&lt;=0,H219=""),"",MAX(0,Setup!$C$11-H219))</f>
        <v/>
      </c>
      <c r="M219" s="54" t="str">
        <f aca="false">IF(OR(D219="",B219=""),"",IF(IFERROR(INDEX(Suppliers!$S$7:$S$106,MATCH(D219,Suppliers!$B$7:$B$106,0)),"")="","–",B219+IFERROR(INDEX(Suppliers!$S$7:$S$106,MATCH(D219,Suppliers!$B$7:$B$106,0)),"")))</f>
        <v/>
      </c>
      <c r="N219" s="56" t="str">
        <f aca="false">IF(D219="","",IF(N(K219)&lt;=0,"Paid",IF(AND(ISNUMBER(M219),Setup!$C$11&gt;M219),"⚠ MSME late",IF(N(L219)&gt;0,"Overdue",IF(N(V219)&lt;=Setup!$C$9,"⚠ MSME due soon",IF(K219&lt;E219,"Part paid","Not due"))))))</f>
        <v/>
      </c>
      <c r="O219" s="50" t="str">
        <f aca="false">IF(AND(D219="",B219="",C219="",E219=""),"",IF(D219="","⚠ Pick supplier",IF(ISNA(MATCH(D219,Suppliers!$B$7:$B$106,0)),"⚠ Supplier not in list",IF(B219="","⚠ Enter bill date",IF(N(E219)&lt;=0,"⚠ Enter amount",IF(AND(C219&lt;&gt;"",COUNTIFS($D$8:$D$507,D219,$C$8:$C$507,C219)&gt;1),"⚠ Bill no. used twice",IF(N(I219)&gt;N(E219),"⚠ Paid more than bill","✔")))))))</f>
        <v/>
      </c>
      <c r="P219" s="9" t="n">
        <f aca="false">IF(D219="",0,MAX(0,N(E219)-N(I219)))</f>
        <v>0</v>
      </c>
      <c r="Q219" s="9" t="n">
        <f aca="false">IF(D219="",0,SUMIFS($P$8:$P$507,$D$8:$D$507,D219,$B$8:$B$507,"&lt;"&amp;B219)+SUMIFS($P$8:P218,$D$8:D218,D219,$B$8:B218,B219))</f>
        <v>0</v>
      </c>
      <c r="R219" s="9" t="n">
        <f aca="false">IF(D219="",0,IFERROR(INDEX(Suppliers!$R$7:$R$106,MATCH(D219,Suppliers!$B$7:$B$106,0)),0))</f>
        <v>0</v>
      </c>
      <c r="S219" s="9" t="str">
        <f aca="false">IF(N(K219)&gt;0,IF(H219="",99999,MIN(H219,IF(ISNUMBER(M219),M219,H219)))+ROW()/100000,"")</f>
        <v/>
      </c>
      <c r="U219" s="9" t="n">
        <f aca="false">IF(N(K219)&gt;0,N(L219),0)</f>
        <v>0</v>
      </c>
      <c r="V219" s="9" t="n">
        <f aca="false">IF(AND(N(K219)&gt;0,ISNUMBER(M219)),M219-Setup!$C$11,99999)</f>
        <v>99999</v>
      </c>
    </row>
    <row r="220" customFormat="false" ht="15" hidden="false" customHeight="false" outlineLevel="0" collapsed="false">
      <c r="A220" s="40" t="str">
        <f aca="false">IF(D220="","",ROW()-7)</f>
        <v/>
      </c>
      <c r="B220" s="79"/>
      <c r="C220" s="75"/>
      <c r="D220" s="76"/>
      <c r="E220" s="80"/>
      <c r="F220" s="79"/>
      <c r="G220" s="76"/>
      <c r="H220" s="54" t="str">
        <f aca="false">IF(OR(D220="",B220=""),"",IF(F220&lt;&gt;"",F220,B220+IFERROR(INDEX(Suppliers!$Q$7:$Q$106,MATCH(D220,Suppliers!$B$7:$B$106,0)),Setup!$C$7)))</f>
        <v/>
      </c>
      <c r="I220" s="46" t="str">
        <f aca="false">IF(OR(D220="",C220=""),IF(D220="","",0),SUMIFS(Payments!$D$8:$D$507,Payments!$C$8:$C$507,D220,Payments!$F$8:$F$507,C220))</f>
        <v/>
      </c>
      <c r="J220" s="46" t="str">
        <f aca="false">IF(D220="","",MIN(P220,MAX(0,R220-Q220)))</f>
        <v/>
      </c>
      <c r="K220" s="47" t="str">
        <f aca="false">IF(D220="","",P220-J220)</f>
        <v/>
      </c>
      <c r="L220" s="55" t="str">
        <f aca="false">IF(OR(D220="",N(K220)&lt;=0,H220=""),"",MAX(0,Setup!$C$11-H220))</f>
        <v/>
      </c>
      <c r="M220" s="54" t="str">
        <f aca="false">IF(OR(D220="",B220=""),"",IF(IFERROR(INDEX(Suppliers!$S$7:$S$106,MATCH(D220,Suppliers!$B$7:$B$106,0)),"")="","–",B220+IFERROR(INDEX(Suppliers!$S$7:$S$106,MATCH(D220,Suppliers!$B$7:$B$106,0)),"")))</f>
        <v/>
      </c>
      <c r="N220" s="56" t="str">
        <f aca="false">IF(D220="","",IF(N(K220)&lt;=0,"Paid",IF(AND(ISNUMBER(M220),Setup!$C$11&gt;M220),"⚠ MSME late",IF(N(L220)&gt;0,"Overdue",IF(N(V220)&lt;=Setup!$C$9,"⚠ MSME due soon",IF(K220&lt;E220,"Part paid","Not due"))))))</f>
        <v/>
      </c>
      <c r="O220" s="50" t="str">
        <f aca="false">IF(AND(D220="",B220="",C220="",E220=""),"",IF(D220="","⚠ Pick supplier",IF(ISNA(MATCH(D220,Suppliers!$B$7:$B$106,0)),"⚠ Supplier not in list",IF(B220="","⚠ Enter bill date",IF(N(E220)&lt;=0,"⚠ Enter amount",IF(AND(C220&lt;&gt;"",COUNTIFS($D$8:$D$507,D220,$C$8:$C$507,C220)&gt;1),"⚠ Bill no. used twice",IF(N(I220)&gt;N(E220),"⚠ Paid more than bill","✔")))))))</f>
        <v/>
      </c>
      <c r="P220" s="9" t="n">
        <f aca="false">IF(D220="",0,MAX(0,N(E220)-N(I220)))</f>
        <v>0</v>
      </c>
      <c r="Q220" s="9" t="n">
        <f aca="false">IF(D220="",0,SUMIFS($P$8:$P$507,$D$8:$D$507,D220,$B$8:$B$507,"&lt;"&amp;B220)+SUMIFS($P$8:P219,$D$8:D219,D220,$B$8:B219,B220))</f>
        <v>0</v>
      </c>
      <c r="R220" s="9" t="n">
        <f aca="false">IF(D220="",0,IFERROR(INDEX(Suppliers!$R$7:$R$106,MATCH(D220,Suppliers!$B$7:$B$106,0)),0))</f>
        <v>0</v>
      </c>
      <c r="S220" s="9" t="str">
        <f aca="false">IF(N(K220)&gt;0,IF(H220="",99999,MIN(H220,IF(ISNUMBER(M220),M220,H220)))+ROW()/100000,"")</f>
        <v/>
      </c>
      <c r="U220" s="9" t="n">
        <f aca="false">IF(N(K220)&gt;0,N(L220),0)</f>
        <v>0</v>
      </c>
      <c r="V220" s="9" t="n">
        <f aca="false">IF(AND(N(K220)&gt;0,ISNUMBER(M220)),M220-Setup!$C$11,99999)</f>
        <v>99999</v>
      </c>
    </row>
    <row r="221" customFormat="false" ht="15" hidden="false" customHeight="false" outlineLevel="0" collapsed="false">
      <c r="A221" s="40" t="str">
        <f aca="false">IF(D221="","",ROW()-7)</f>
        <v/>
      </c>
      <c r="B221" s="79"/>
      <c r="C221" s="75"/>
      <c r="D221" s="76"/>
      <c r="E221" s="80"/>
      <c r="F221" s="79"/>
      <c r="G221" s="76"/>
      <c r="H221" s="54" t="str">
        <f aca="false">IF(OR(D221="",B221=""),"",IF(F221&lt;&gt;"",F221,B221+IFERROR(INDEX(Suppliers!$Q$7:$Q$106,MATCH(D221,Suppliers!$B$7:$B$106,0)),Setup!$C$7)))</f>
        <v/>
      </c>
      <c r="I221" s="46" t="str">
        <f aca="false">IF(OR(D221="",C221=""),IF(D221="","",0),SUMIFS(Payments!$D$8:$D$507,Payments!$C$8:$C$507,D221,Payments!$F$8:$F$507,C221))</f>
        <v/>
      </c>
      <c r="J221" s="46" t="str">
        <f aca="false">IF(D221="","",MIN(P221,MAX(0,R221-Q221)))</f>
        <v/>
      </c>
      <c r="K221" s="47" t="str">
        <f aca="false">IF(D221="","",P221-J221)</f>
        <v/>
      </c>
      <c r="L221" s="55" t="str">
        <f aca="false">IF(OR(D221="",N(K221)&lt;=0,H221=""),"",MAX(0,Setup!$C$11-H221))</f>
        <v/>
      </c>
      <c r="M221" s="54" t="str">
        <f aca="false">IF(OR(D221="",B221=""),"",IF(IFERROR(INDEX(Suppliers!$S$7:$S$106,MATCH(D221,Suppliers!$B$7:$B$106,0)),"")="","–",B221+IFERROR(INDEX(Suppliers!$S$7:$S$106,MATCH(D221,Suppliers!$B$7:$B$106,0)),"")))</f>
        <v/>
      </c>
      <c r="N221" s="56" t="str">
        <f aca="false">IF(D221="","",IF(N(K221)&lt;=0,"Paid",IF(AND(ISNUMBER(M221),Setup!$C$11&gt;M221),"⚠ MSME late",IF(N(L221)&gt;0,"Overdue",IF(N(V221)&lt;=Setup!$C$9,"⚠ MSME due soon",IF(K221&lt;E221,"Part paid","Not due"))))))</f>
        <v/>
      </c>
      <c r="O221" s="50" t="str">
        <f aca="false">IF(AND(D221="",B221="",C221="",E221=""),"",IF(D221="","⚠ Pick supplier",IF(ISNA(MATCH(D221,Suppliers!$B$7:$B$106,0)),"⚠ Supplier not in list",IF(B221="","⚠ Enter bill date",IF(N(E221)&lt;=0,"⚠ Enter amount",IF(AND(C221&lt;&gt;"",COUNTIFS($D$8:$D$507,D221,$C$8:$C$507,C221)&gt;1),"⚠ Bill no. used twice",IF(N(I221)&gt;N(E221),"⚠ Paid more than bill","✔")))))))</f>
        <v/>
      </c>
      <c r="P221" s="9" t="n">
        <f aca="false">IF(D221="",0,MAX(0,N(E221)-N(I221)))</f>
        <v>0</v>
      </c>
      <c r="Q221" s="9" t="n">
        <f aca="false">IF(D221="",0,SUMIFS($P$8:$P$507,$D$8:$D$507,D221,$B$8:$B$507,"&lt;"&amp;B221)+SUMIFS($P$8:P220,$D$8:D220,D221,$B$8:B220,B221))</f>
        <v>0</v>
      </c>
      <c r="R221" s="9" t="n">
        <f aca="false">IF(D221="",0,IFERROR(INDEX(Suppliers!$R$7:$R$106,MATCH(D221,Suppliers!$B$7:$B$106,0)),0))</f>
        <v>0</v>
      </c>
      <c r="S221" s="9" t="str">
        <f aca="false">IF(N(K221)&gt;0,IF(H221="",99999,MIN(H221,IF(ISNUMBER(M221),M221,H221)))+ROW()/100000,"")</f>
        <v/>
      </c>
      <c r="U221" s="9" t="n">
        <f aca="false">IF(N(K221)&gt;0,N(L221),0)</f>
        <v>0</v>
      </c>
      <c r="V221" s="9" t="n">
        <f aca="false">IF(AND(N(K221)&gt;0,ISNUMBER(M221)),M221-Setup!$C$11,99999)</f>
        <v>99999</v>
      </c>
    </row>
    <row r="222" customFormat="false" ht="15" hidden="false" customHeight="false" outlineLevel="0" collapsed="false">
      <c r="A222" s="40" t="str">
        <f aca="false">IF(D222="","",ROW()-7)</f>
        <v/>
      </c>
      <c r="B222" s="79"/>
      <c r="C222" s="75"/>
      <c r="D222" s="76"/>
      <c r="E222" s="80"/>
      <c r="F222" s="79"/>
      <c r="G222" s="76"/>
      <c r="H222" s="54" t="str">
        <f aca="false">IF(OR(D222="",B222=""),"",IF(F222&lt;&gt;"",F222,B222+IFERROR(INDEX(Suppliers!$Q$7:$Q$106,MATCH(D222,Suppliers!$B$7:$B$106,0)),Setup!$C$7)))</f>
        <v/>
      </c>
      <c r="I222" s="46" t="str">
        <f aca="false">IF(OR(D222="",C222=""),IF(D222="","",0),SUMIFS(Payments!$D$8:$D$507,Payments!$C$8:$C$507,D222,Payments!$F$8:$F$507,C222))</f>
        <v/>
      </c>
      <c r="J222" s="46" t="str">
        <f aca="false">IF(D222="","",MIN(P222,MAX(0,R222-Q222)))</f>
        <v/>
      </c>
      <c r="K222" s="47" t="str">
        <f aca="false">IF(D222="","",P222-J222)</f>
        <v/>
      </c>
      <c r="L222" s="55" t="str">
        <f aca="false">IF(OR(D222="",N(K222)&lt;=0,H222=""),"",MAX(0,Setup!$C$11-H222))</f>
        <v/>
      </c>
      <c r="M222" s="54" t="str">
        <f aca="false">IF(OR(D222="",B222=""),"",IF(IFERROR(INDEX(Suppliers!$S$7:$S$106,MATCH(D222,Suppliers!$B$7:$B$106,0)),"")="","–",B222+IFERROR(INDEX(Suppliers!$S$7:$S$106,MATCH(D222,Suppliers!$B$7:$B$106,0)),"")))</f>
        <v/>
      </c>
      <c r="N222" s="56" t="str">
        <f aca="false">IF(D222="","",IF(N(K222)&lt;=0,"Paid",IF(AND(ISNUMBER(M222),Setup!$C$11&gt;M222),"⚠ MSME late",IF(N(L222)&gt;0,"Overdue",IF(N(V222)&lt;=Setup!$C$9,"⚠ MSME due soon",IF(K222&lt;E222,"Part paid","Not due"))))))</f>
        <v/>
      </c>
      <c r="O222" s="50" t="str">
        <f aca="false">IF(AND(D222="",B222="",C222="",E222=""),"",IF(D222="","⚠ Pick supplier",IF(ISNA(MATCH(D222,Suppliers!$B$7:$B$106,0)),"⚠ Supplier not in list",IF(B222="","⚠ Enter bill date",IF(N(E222)&lt;=0,"⚠ Enter amount",IF(AND(C222&lt;&gt;"",COUNTIFS($D$8:$D$507,D222,$C$8:$C$507,C222)&gt;1),"⚠ Bill no. used twice",IF(N(I222)&gt;N(E222),"⚠ Paid more than bill","✔")))))))</f>
        <v/>
      </c>
      <c r="P222" s="9" t="n">
        <f aca="false">IF(D222="",0,MAX(0,N(E222)-N(I222)))</f>
        <v>0</v>
      </c>
      <c r="Q222" s="9" t="n">
        <f aca="false">IF(D222="",0,SUMIFS($P$8:$P$507,$D$8:$D$507,D222,$B$8:$B$507,"&lt;"&amp;B222)+SUMIFS($P$8:P221,$D$8:D221,D222,$B$8:B221,B222))</f>
        <v>0</v>
      </c>
      <c r="R222" s="9" t="n">
        <f aca="false">IF(D222="",0,IFERROR(INDEX(Suppliers!$R$7:$R$106,MATCH(D222,Suppliers!$B$7:$B$106,0)),0))</f>
        <v>0</v>
      </c>
      <c r="S222" s="9" t="str">
        <f aca="false">IF(N(K222)&gt;0,IF(H222="",99999,MIN(H222,IF(ISNUMBER(M222),M222,H222)))+ROW()/100000,"")</f>
        <v/>
      </c>
      <c r="U222" s="9" t="n">
        <f aca="false">IF(N(K222)&gt;0,N(L222),0)</f>
        <v>0</v>
      </c>
      <c r="V222" s="9" t="n">
        <f aca="false">IF(AND(N(K222)&gt;0,ISNUMBER(M222)),M222-Setup!$C$11,99999)</f>
        <v>99999</v>
      </c>
    </row>
    <row r="223" customFormat="false" ht="15" hidden="false" customHeight="false" outlineLevel="0" collapsed="false">
      <c r="A223" s="40" t="str">
        <f aca="false">IF(D223="","",ROW()-7)</f>
        <v/>
      </c>
      <c r="B223" s="79"/>
      <c r="C223" s="75"/>
      <c r="D223" s="76"/>
      <c r="E223" s="80"/>
      <c r="F223" s="79"/>
      <c r="G223" s="76"/>
      <c r="H223" s="54" t="str">
        <f aca="false">IF(OR(D223="",B223=""),"",IF(F223&lt;&gt;"",F223,B223+IFERROR(INDEX(Suppliers!$Q$7:$Q$106,MATCH(D223,Suppliers!$B$7:$B$106,0)),Setup!$C$7)))</f>
        <v/>
      </c>
      <c r="I223" s="46" t="str">
        <f aca="false">IF(OR(D223="",C223=""),IF(D223="","",0),SUMIFS(Payments!$D$8:$D$507,Payments!$C$8:$C$507,D223,Payments!$F$8:$F$507,C223))</f>
        <v/>
      </c>
      <c r="J223" s="46" t="str">
        <f aca="false">IF(D223="","",MIN(P223,MAX(0,R223-Q223)))</f>
        <v/>
      </c>
      <c r="K223" s="47" t="str">
        <f aca="false">IF(D223="","",P223-J223)</f>
        <v/>
      </c>
      <c r="L223" s="55" t="str">
        <f aca="false">IF(OR(D223="",N(K223)&lt;=0,H223=""),"",MAX(0,Setup!$C$11-H223))</f>
        <v/>
      </c>
      <c r="M223" s="54" t="str">
        <f aca="false">IF(OR(D223="",B223=""),"",IF(IFERROR(INDEX(Suppliers!$S$7:$S$106,MATCH(D223,Suppliers!$B$7:$B$106,0)),"")="","–",B223+IFERROR(INDEX(Suppliers!$S$7:$S$106,MATCH(D223,Suppliers!$B$7:$B$106,0)),"")))</f>
        <v/>
      </c>
      <c r="N223" s="56" t="str">
        <f aca="false">IF(D223="","",IF(N(K223)&lt;=0,"Paid",IF(AND(ISNUMBER(M223),Setup!$C$11&gt;M223),"⚠ MSME late",IF(N(L223)&gt;0,"Overdue",IF(N(V223)&lt;=Setup!$C$9,"⚠ MSME due soon",IF(K223&lt;E223,"Part paid","Not due"))))))</f>
        <v/>
      </c>
      <c r="O223" s="50" t="str">
        <f aca="false">IF(AND(D223="",B223="",C223="",E223=""),"",IF(D223="","⚠ Pick supplier",IF(ISNA(MATCH(D223,Suppliers!$B$7:$B$106,0)),"⚠ Supplier not in list",IF(B223="","⚠ Enter bill date",IF(N(E223)&lt;=0,"⚠ Enter amount",IF(AND(C223&lt;&gt;"",COUNTIFS($D$8:$D$507,D223,$C$8:$C$507,C223)&gt;1),"⚠ Bill no. used twice",IF(N(I223)&gt;N(E223),"⚠ Paid more than bill","✔")))))))</f>
        <v/>
      </c>
      <c r="P223" s="9" t="n">
        <f aca="false">IF(D223="",0,MAX(0,N(E223)-N(I223)))</f>
        <v>0</v>
      </c>
      <c r="Q223" s="9" t="n">
        <f aca="false">IF(D223="",0,SUMIFS($P$8:$P$507,$D$8:$D$507,D223,$B$8:$B$507,"&lt;"&amp;B223)+SUMIFS($P$8:P222,$D$8:D222,D223,$B$8:B222,B223))</f>
        <v>0</v>
      </c>
      <c r="R223" s="9" t="n">
        <f aca="false">IF(D223="",0,IFERROR(INDEX(Suppliers!$R$7:$R$106,MATCH(D223,Suppliers!$B$7:$B$106,0)),0))</f>
        <v>0</v>
      </c>
      <c r="S223" s="9" t="str">
        <f aca="false">IF(N(K223)&gt;0,IF(H223="",99999,MIN(H223,IF(ISNUMBER(M223),M223,H223)))+ROW()/100000,"")</f>
        <v/>
      </c>
      <c r="U223" s="9" t="n">
        <f aca="false">IF(N(K223)&gt;0,N(L223),0)</f>
        <v>0</v>
      </c>
      <c r="V223" s="9" t="n">
        <f aca="false">IF(AND(N(K223)&gt;0,ISNUMBER(M223)),M223-Setup!$C$11,99999)</f>
        <v>99999</v>
      </c>
    </row>
    <row r="224" customFormat="false" ht="15" hidden="false" customHeight="false" outlineLevel="0" collapsed="false">
      <c r="A224" s="40" t="str">
        <f aca="false">IF(D224="","",ROW()-7)</f>
        <v/>
      </c>
      <c r="B224" s="79"/>
      <c r="C224" s="75"/>
      <c r="D224" s="76"/>
      <c r="E224" s="80"/>
      <c r="F224" s="79"/>
      <c r="G224" s="76"/>
      <c r="H224" s="54" t="str">
        <f aca="false">IF(OR(D224="",B224=""),"",IF(F224&lt;&gt;"",F224,B224+IFERROR(INDEX(Suppliers!$Q$7:$Q$106,MATCH(D224,Suppliers!$B$7:$B$106,0)),Setup!$C$7)))</f>
        <v/>
      </c>
      <c r="I224" s="46" t="str">
        <f aca="false">IF(OR(D224="",C224=""),IF(D224="","",0),SUMIFS(Payments!$D$8:$D$507,Payments!$C$8:$C$507,D224,Payments!$F$8:$F$507,C224))</f>
        <v/>
      </c>
      <c r="J224" s="46" t="str">
        <f aca="false">IF(D224="","",MIN(P224,MAX(0,R224-Q224)))</f>
        <v/>
      </c>
      <c r="K224" s="47" t="str">
        <f aca="false">IF(D224="","",P224-J224)</f>
        <v/>
      </c>
      <c r="L224" s="55" t="str">
        <f aca="false">IF(OR(D224="",N(K224)&lt;=0,H224=""),"",MAX(0,Setup!$C$11-H224))</f>
        <v/>
      </c>
      <c r="M224" s="54" t="str">
        <f aca="false">IF(OR(D224="",B224=""),"",IF(IFERROR(INDEX(Suppliers!$S$7:$S$106,MATCH(D224,Suppliers!$B$7:$B$106,0)),"")="","–",B224+IFERROR(INDEX(Suppliers!$S$7:$S$106,MATCH(D224,Suppliers!$B$7:$B$106,0)),"")))</f>
        <v/>
      </c>
      <c r="N224" s="56" t="str">
        <f aca="false">IF(D224="","",IF(N(K224)&lt;=0,"Paid",IF(AND(ISNUMBER(M224),Setup!$C$11&gt;M224),"⚠ MSME late",IF(N(L224)&gt;0,"Overdue",IF(N(V224)&lt;=Setup!$C$9,"⚠ MSME due soon",IF(K224&lt;E224,"Part paid","Not due"))))))</f>
        <v/>
      </c>
      <c r="O224" s="50" t="str">
        <f aca="false">IF(AND(D224="",B224="",C224="",E224=""),"",IF(D224="","⚠ Pick supplier",IF(ISNA(MATCH(D224,Suppliers!$B$7:$B$106,0)),"⚠ Supplier not in list",IF(B224="","⚠ Enter bill date",IF(N(E224)&lt;=0,"⚠ Enter amount",IF(AND(C224&lt;&gt;"",COUNTIFS($D$8:$D$507,D224,$C$8:$C$507,C224)&gt;1),"⚠ Bill no. used twice",IF(N(I224)&gt;N(E224),"⚠ Paid more than bill","✔")))))))</f>
        <v/>
      </c>
      <c r="P224" s="9" t="n">
        <f aca="false">IF(D224="",0,MAX(0,N(E224)-N(I224)))</f>
        <v>0</v>
      </c>
      <c r="Q224" s="9" t="n">
        <f aca="false">IF(D224="",0,SUMIFS($P$8:$P$507,$D$8:$D$507,D224,$B$8:$B$507,"&lt;"&amp;B224)+SUMIFS($P$8:P223,$D$8:D223,D224,$B$8:B223,B224))</f>
        <v>0</v>
      </c>
      <c r="R224" s="9" t="n">
        <f aca="false">IF(D224="",0,IFERROR(INDEX(Suppliers!$R$7:$R$106,MATCH(D224,Suppliers!$B$7:$B$106,0)),0))</f>
        <v>0</v>
      </c>
      <c r="S224" s="9" t="str">
        <f aca="false">IF(N(K224)&gt;0,IF(H224="",99999,MIN(H224,IF(ISNUMBER(M224),M224,H224)))+ROW()/100000,"")</f>
        <v/>
      </c>
      <c r="U224" s="9" t="n">
        <f aca="false">IF(N(K224)&gt;0,N(L224),0)</f>
        <v>0</v>
      </c>
      <c r="V224" s="9" t="n">
        <f aca="false">IF(AND(N(K224)&gt;0,ISNUMBER(M224)),M224-Setup!$C$11,99999)</f>
        <v>99999</v>
      </c>
    </row>
    <row r="225" customFormat="false" ht="15" hidden="false" customHeight="false" outlineLevel="0" collapsed="false">
      <c r="A225" s="40" t="str">
        <f aca="false">IF(D225="","",ROW()-7)</f>
        <v/>
      </c>
      <c r="B225" s="79"/>
      <c r="C225" s="75"/>
      <c r="D225" s="76"/>
      <c r="E225" s="80"/>
      <c r="F225" s="79"/>
      <c r="G225" s="76"/>
      <c r="H225" s="54" t="str">
        <f aca="false">IF(OR(D225="",B225=""),"",IF(F225&lt;&gt;"",F225,B225+IFERROR(INDEX(Suppliers!$Q$7:$Q$106,MATCH(D225,Suppliers!$B$7:$B$106,0)),Setup!$C$7)))</f>
        <v/>
      </c>
      <c r="I225" s="46" t="str">
        <f aca="false">IF(OR(D225="",C225=""),IF(D225="","",0),SUMIFS(Payments!$D$8:$D$507,Payments!$C$8:$C$507,D225,Payments!$F$8:$F$507,C225))</f>
        <v/>
      </c>
      <c r="J225" s="46" t="str">
        <f aca="false">IF(D225="","",MIN(P225,MAX(0,R225-Q225)))</f>
        <v/>
      </c>
      <c r="K225" s="47" t="str">
        <f aca="false">IF(D225="","",P225-J225)</f>
        <v/>
      </c>
      <c r="L225" s="55" t="str">
        <f aca="false">IF(OR(D225="",N(K225)&lt;=0,H225=""),"",MAX(0,Setup!$C$11-H225))</f>
        <v/>
      </c>
      <c r="M225" s="54" t="str">
        <f aca="false">IF(OR(D225="",B225=""),"",IF(IFERROR(INDEX(Suppliers!$S$7:$S$106,MATCH(D225,Suppliers!$B$7:$B$106,0)),"")="","–",B225+IFERROR(INDEX(Suppliers!$S$7:$S$106,MATCH(D225,Suppliers!$B$7:$B$106,0)),"")))</f>
        <v/>
      </c>
      <c r="N225" s="56" t="str">
        <f aca="false">IF(D225="","",IF(N(K225)&lt;=0,"Paid",IF(AND(ISNUMBER(M225),Setup!$C$11&gt;M225),"⚠ MSME late",IF(N(L225)&gt;0,"Overdue",IF(N(V225)&lt;=Setup!$C$9,"⚠ MSME due soon",IF(K225&lt;E225,"Part paid","Not due"))))))</f>
        <v/>
      </c>
      <c r="O225" s="50" t="str">
        <f aca="false">IF(AND(D225="",B225="",C225="",E225=""),"",IF(D225="","⚠ Pick supplier",IF(ISNA(MATCH(D225,Suppliers!$B$7:$B$106,0)),"⚠ Supplier not in list",IF(B225="","⚠ Enter bill date",IF(N(E225)&lt;=0,"⚠ Enter amount",IF(AND(C225&lt;&gt;"",COUNTIFS($D$8:$D$507,D225,$C$8:$C$507,C225)&gt;1),"⚠ Bill no. used twice",IF(N(I225)&gt;N(E225),"⚠ Paid more than bill","✔")))))))</f>
        <v/>
      </c>
      <c r="P225" s="9" t="n">
        <f aca="false">IF(D225="",0,MAX(0,N(E225)-N(I225)))</f>
        <v>0</v>
      </c>
      <c r="Q225" s="9" t="n">
        <f aca="false">IF(D225="",0,SUMIFS($P$8:$P$507,$D$8:$D$507,D225,$B$8:$B$507,"&lt;"&amp;B225)+SUMIFS($P$8:P224,$D$8:D224,D225,$B$8:B224,B225))</f>
        <v>0</v>
      </c>
      <c r="R225" s="9" t="n">
        <f aca="false">IF(D225="",0,IFERROR(INDEX(Suppliers!$R$7:$R$106,MATCH(D225,Suppliers!$B$7:$B$106,0)),0))</f>
        <v>0</v>
      </c>
      <c r="S225" s="9" t="str">
        <f aca="false">IF(N(K225)&gt;0,IF(H225="",99999,MIN(H225,IF(ISNUMBER(M225),M225,H225)))+ROW()/100000,"")</f>
        <v/>
      </c>
      <c r="U225" s="9" t="n">
        <f aca="false">IF(N(K225)&gt;0,N(L225),0)</f>
        <v>0</v>
      </c>
      <c r="V225" s="9" t="n">
        <f aca="false">IF(AND(N(K225)&gt;0,ISNUMBER(M225)),M225-Setup!$C$11,99999)</f>
        <v>99999</v>
      </c>
    </row>
    <row r="226" customFormat="false" ht="15" hidden="false" customHeight="false" outlineLevel="0" collapsed="false">
      <c r="A226" s="40" t="str">
        <f aca="false">IF(D226="","",ROW()-7)</f>
        <v/>
      </c>
      <c r="B226" s="79"/>
      <c r="C226" s="75"/>
      <c r="D226" s="76"/>
      <c r="E226" s="80"/>
      <c r="F226" s="79"/>
      <c r="G226" s="76"/>
      <c r="H226" s="54" t="str">
        <f aca="false">IF(OR(D226="",B226=""),"",IF(F226&lt;&gt;"",F226,B226+IFERROR(INDEX(Suppliers!$Q$7:$Q$106,MATCH(D226,Suppliers!$B$7:$B$106,0)),Setup!$C$7)))</f>
        <v/>
      </c>
      <c r="I226" s="46" t="str">
        <f aca="false">IF(OR(D226="",C226=""),IF(D226="","",0),SUMIFS(Payments!$D$8:$D$507,Payments!$C$8:$C$507,D226,Payments!$F$8:$F$507,C226))</f>
        <v/>
      </c>
      <c r="J226" s="46" t="str">
        <f aca="false">IF(D226="","",MIN(P226,MAX(0,R226-Q226)))</f>
        <v/>
      </c>
      <c r="K226" s="47" t="str">
        <f aca="false">IF(D226="","",P226-J226)</f>
        <v/>
      </c>
      <c r="L226" s="55" t="str">
        <f aca="false">IF(OR(D226="",N(K226)&lt;=0,H226=""),"",MAX(0,Setup!$C$11-H226))</f>
        <v/>
      </c>
      <c r="M226" s="54" t="str">
        <f aca="false">IF(OR(D226="",B226=""),"",IF(IFERROR(INDEX(Suppliers!$S$7:$S$106,MATCH(D226,Suppliers!$B$7:$B$106,0)),"")="","–",B226+IFERROR(INDEX(Suppliers!$S$7:$S$106,MATCH(D226,Suppliers!$B$7:$B$106,0)),"")))</f>
        <v/>
      </c>
      <c r="N226" s="56" t="str">
        <f aca="false">IF(D226="","",IF(N(K226)&lt;=0,"Paid",IF(AND(ISNUMBER(M226),Setup!$C$11&gt;M226),"⚠ MSME late",IF(N(L226)&gt;0,"Overdue",IF(N(V226)&lt;=Setup!$C$9,"⚠ MSME due soon",IF(K226&lt;E226,"Part paid","Not due"))))))</f>
        <v/>
      </c>
      <c r="O226" s="50" t="str">
        <f aca="false">IF(AND(D226="",B226="",C226="",E226=""),"",IF(D226="","⚠ Pick supplier",IF(ISNA(MATCH(D226,Suppliers!$B$7:$B$106,0)),"⚠ Supplier not in list",IF(B226="","⚠ Enter bill date",IF(N(E226)&lt;=0,"⚠ Enter amount",IF(AND(C226&lt;&gt;"",COUNTIFS($D$8:$D$507,D226,$C$8:$C$507,C226)&gt;1),"⚠ Bill no. used twice",IF(N(I226)&gt;N(E226),"⚠ Paid more than bill","✔")))))))</f>
        <v/>
      </c>
      <c r="P226" s="9" t="n">
        <f aca="false">IF(D226="",0,MAX(0,N(E226)-N(I226)))</f>
        <v>0</v>
      </c>
      <c r="Q226" s="9" t="n">
        <f aca="false">IF(D226="",0,SUMIFS($P$8:$P$507,$D$8:$D$507,D226,$B$8:$B$507,"&lt;"&amp;B226)+SUMIFS($P$8:P225,$D$8:D225,D226,$B$8:B225,B226))</f>
        <v>0</v>
      </c>
      <c r="R226" s="9" t="n">
        <f aca="false">IF(D226="",0,IFERROR(INDEX(Suppliers!$R$7:$R$106,MATCH(D226,Suppliers!$B$7:$B$106,0)),0))</f>
        <v>0</v>
      </c>
      <c r="S226" s="9" t="str">
        <f aca="false">IF(N(K226)&gt;0,IF(H226="",99999,MIN(H226,IF(ISNUMBER(M226),M226,H226)))+ROW()/100000,"")</f>
        <v/>
      </c>
      <c r="U226" s="9" t="n">
        <f aca="false">IF(N(K226)&gt;0,N(L226),0)</f>
        <v>0</v>
      </c>
      <c r="V226" s="9" t="n">
        <f aca="false">IF(AND(N(K226)&gt;0,ISNUMBER(M226)),M226-Setup!$C$11,99999)</f>
        <v>99999</v>
      </c>
    </row>
    <row r="227" customFormat="false" ht="15" hidden="false" customHeight="false" outlineLevel="0" collapsed="false">
      <c r="A227" s="40" t="str">
        <f aca="false">IF(D227="","",ROW()-7)</f>
        <v/>
      </c>
      <c r="B227" s="79"/>
      <c r="C227" s="75"/>
      <c r="D227" s="76"/>
      <c r="E227" s="80"/>
      <c r="F227" s="79"/>
      <c r="G227" s="76"/>
      <c r="H227" s="54" t="str">
        <f aca="false">IF(OR(D227="",B227=""),"",IF(F227&lt;&gt;"",F227,B227+IFERROR(INDEX(Suppliers!$Q$7:$Q$106,MATCH(D227,Suppliers!$B$7:$B$106,0)),Setup!$C$7)))</f>
        <v/>
      </c>
      <c r="I227" s="46" t="str">
        <f aca="false">IF(OR(D227="",C227=""),IF(D227="","",0),SUMIFS(Payments!$D$8:$D$507,Payments!$C$8:$C$507,D227,Payments!$F$8:$F$507,C227))</f>
        <v/>
      </c>
      <c r="J227" s="46" t="str">
        <f aca="false">IF(D227="","",MIN(P227,MAX(0,R227-Q227)))</f>
        <v/>
      </c>
      <c r="K227" s="47" t="str">
        <f aca="false">IF(D227="","",P227-J227)</f>
        <v/>
      </c>
      <c r="L227" s="55" t="str">
        <f aca="false">IF(OR(D227="",N(K227)&lt;=0,H227=""),"",MAX(0,Setup!$C$11-H227))</f>
        <v/>
      </c>
      <c r="M227" s="54" t="str">
        <f aca="false">IF(OR(D227="",B227=""),"",IF(IFERROR(INDEX(Suppliers!$S$7:$S$106,MATCH(D227,Suppliers!$B$7:$B$106,0)),"")="","–",B227+IFERROR(INDEX(Suppliers!$S$7:$S$106,MATCH(D227,Suppliers!$B$7:$B$106,0)),"")))</f>
        <v/>
      </c>
      <c r="N227" s="56" t="str">
        <f aca="false">IF(D227="","",IF(N(K227)&lt;=0,"Paid",IF(AND(ISNUMBER(M227),Setup!$C$11&gt;M227),"⚠ MSME late",IF(N(L227)&gt;0,"Overdue",IF(N(V227)&lt;=Setup!$C$9,"⚠ MSME due soon",IF(K227&lt;E227,"Part paid","Not due"))))))</f>
        <v/>
      </c>
      <c r="O227" s="50" t="str">
        <f aca="false">IF(AND(D227="",B227="",C227="",E227=""),"",IF(D227="","⚠ Pick supplier",IF(ISNA(MATCH(D227,Suppliers!$B$7:$B$106,0)),"⚠ Supplier not in list",IF(B227="","⚠ Enter bill date",IF(N(E227)&lt;=0,"⚠ Enter amount",IF(AND(C227&lt;&gt;"",COUNTIFS($D$8:$D$507,D227,$C$8:$C$507,C227)&gt;1),"⚠ Bill no. used twice",IF(N(I227)&gt;N(E227),"⚠ Paid more than bill","✔")))))))</f>
        <v/>
      </c>
      <c r="P227" s="9" t="n">
        <f aca="false">IF(D227="",0,MAX(0,N(E227)-N(I227)))</f>
        <v>0</v>
      </c>
      <c r="Q227" s="9" t="n">
        <f aca="false">IF(D227="",0,SUMIFS($P$8:$P$507,$D$8:$D$507,D227,$B$8:$B$507,"&lt;"&amp;B227)+SUMIFS($P$8:P226,$D$8:D226,D227,$B$8:B226,B227))</f>
        <v>0</v>
      </c>
      <c r="R227" s="9" t="n">
        <f aca="false">IF(D227="",0,IFERROR(INDEX(Suppliers!$R$7:$R$106,MATCH(D227,Suppliers!$B$7:$B$106,0)),0))</f>
        <v>0</v>
      </c>
      <c r="S227" s="9" t="str">
        <f aca="false">IF(N(K227)&gt;0,IF(H227="",99999,MIN(H227,IF(ISNUMBER(M227),M227,H227)))+ROW()/100000,"")</f>
        <v/>
      </c>
      <c r="U227" s="9" t="n">
        <f aca="false">IF(N(K227)&gt;0,N(L227),0)</f>
        <v>0</v>
      </c>
      <c r="V227" s="9" t="n">
        <f aca="false">IF(AND(N(K227)&gt;0,ISNUMBER(M227)),M227-Setup!$C$11,99999)</f>
        <v>99999</v>
      </c>
    </row>
    <row r="228" customFormat="false" ht="15" hidden="false" customHeight="false" outlineLevel="0" collapsed="false">
      <c r="A228" s="40" t="str">
        <f aca="false">IF(D228="","",ROW()-7)</f>
        <v/>
      </c>
      <c r="B228" s="79"/>
      <c r="C228" s="75"/>
      <c r="D228" s="76"/>
      <c r="E228" s="80"/>
      <c r="F228" s="79"/>
      <c r="G228" s="76"/>
      <c r="H228" s="54" t="str">
        <f aca="false">IF(OR(D228="",B228=""),"",IF(F228&lt;&gt;"",F228,B228+IFERROR(INDEX(Suppliers!$Q$7:$Q$106,MATCH(D228,Suppliers!$B$7:$B$106,0)),Setup!$C$7)))</f>
        <v/>
      </c>
      <c r="I228" s="46" t="str">
        <f aca="false">IF(OR(D228="",C228=""),IF(D228="","",0),SUMIFS(Payments!$D$8:$D$507,Payments!$C$8:$C$507,D228,Payments!$F$8:$F$507,C228))</f>
        <v/>
      </c>
      <c r="J228" s="46" t="str">
        <f aca="false">IF(D228="","",MIN(P228,MAX(0,R228-Q228)))</f>
        <v/>
      </c>
      <c r="K228" s="47" t="str">
        <f aca="false">IF(D228="","",P228-J228)</f>
        <v/>
      </c>
      <c r="L228" s="55" t="str">
        <f aca="false">IF(OR(D228="",N(K228)&lt;=0,H228=""),"",MAX(0,Setup!$C$11-H228))</f>
        <v/>
      </c>
      <c r="M228" s="54" t="str">
        <f aca="false">IF(OR(D228="",B228=""),"",IF(IFERROR(INDEX(Suppliers!$S$7:$S$106,MATCH(D228,Suppliers!$B$7:$B$106,0)),"")="","–",B228+IFERROR(INDEX(Suppliers!$S$7:$S$106,MATCH(D228,Suppliers!$B$7:$B$106,0)),"")))</f>
        <v/>
      </c>
      <c r="N228" s="56" t="str">
        <f aca="false">IF(D228="","",IF(N(K228)&lt;=0,"Paid",IF(AND(ISNUMBER(M228),Setup!$C$11&gt;M228),"⚠ MSME late",IF(N(L228)&gt;0,"Overdue",IF(N(V228)&lt;=Setup!$C$9,"⚠ MSME due soon",IF(K228&lt;E228,"Part paid","Not due"))))))</f>
        <v/>
      </c>
      <c r="O228" s="50" t="str">
        <f aca="false">IF(AND(D228="",B228="",C228="",E228=""),"",IF(D228="","⚠ Pick supplier",IF(ISNA(MATCH(D228,Suppliers!$B$7:$B$106,0)),"⚠ Supplier not in list",IF(B228="","⚠ Enter bill date",IF(N(E228)&lt;=0,"⚠ Enter amount",IF(AND(C228&lt;&gt;"",COUNTIFS($D$8:$D$507,D228,$C$8:$C$507,C228)&gt;1),"⚠ Bill no. used twice",IF(N(I228)&gt;N(E228),"⚠ Paid more than bill","✔")))))))</f>
        <v/>
      </c>
      <c r="P228" s="9" t="n">
        <f aca="false">IF(D228="",0,MAX(0,N(E228)-N(I228)))</f>
        <v>0</v>
      </c>
      <c r="Q228" s="9" t="n">
        <f aca="false">IF(D228="",0,SUMIFS($P$8:$P$507,$D$8:$D$507,D228,$B$8:$B$507,"&lt;"&amp;B228)+SUMIFS($P$8:P227,$D$8:D227,D228,$B$8:B227,B228))</f>
        <v>0</v>
      </c>
      <c r="R228" s="9" t="n">
        <f aca="false">IF(D228="",0,IFERROR(INDEX(Suppliers!$R$7:$R$106,MATCH(D228,Suppliers!$B$7:$B$106,0)),0))</f>
        <v>0</v>
      </c>
      <c r="S228" s="9" t="str">
        <f aca="false">IF(N(K228)&gt;0,IF(H228="",99999,MIN(H228,IF(ISNUMBER(M228),M228,H228)))+ROW()/100000,"")</f>
        <v/>
      </c>
      <c r="U228" s="9" t="n">
        <f aca="false">IF(N(K228)&gt;0,N(L228),0)</f>
        <v>0</v>
      </c>
      <c r="V228" s="9" t="n">
        <f aca="false">IF(AND(N(K228)&gt;0,ISNUMBER(M228)),M228-Setup!$C$11,99999)</f>
        <v>99999</v>
      </c>
    </row>
    <row r="229" customFormat="false" ht="15" hidden="false" customHeight="false" outlineLevel="0" collapsed="false">
      <c r="A229" s="40" t="str">
        <f aca="false">IF(D229="","",ROW()-7)</f>
        <v/>
      </c>
      <c r="B229" s="79"/>
      <c r="C229" s="75"/>
      <c r="D229" s="76"/>
      <c r="E229" s="80"/>
      <c r="F229" s="79"/>
      <c r="G229" s="76"/>
      <c r="H229" s="54" t="str">
        <f aca="false">IF(OR(D229="",B229=""),"",IF(F229&lt;&gt;"",F229,B229+IFERROR(INDEX(Suppliers!$Q$7:$Q$106,MATCH(D229,Suppliers!$B$7:$B$106,0)),Setup!$C$7)))</f>
        <v/>
      </c>
      <c r="I229" s="46" t="str">
        <f aca="false">IF(OR(D229="",C229=""),IF(D229="","",0),SUMIFS(Payments!$D$8:$D$507,Payments!$C$8:$C$507,D229,Payments!$F$8:$F$507,C229))</f>
        <v/>
      </c>
      <c r="J229" s="46" t="str">
        <f aca="false">IF(D229="","",MIN(P229,MAX(0,R229-Q229)))</f>
        <v/>
      </c>
      <c r="K229" s="47" t="str">
        <f aca="false">IF(D229="","",P229-J229)</f>
        <v/>
      </c>
      <c r="L229" s="55" t="str">
        <f aca="false">IF(OR(D229="",N(K229)&lt;=0,H229=""),"",MAX(0,Setup!$C$11-H229))</f>
        <v/>
      </c>
      <c r="M229" s="54" t="str">
        <f aca="false">IF(OR(D229="",B229=""),"",IF(IFERROR(INDEX(Suppliers!$S$7:$S$106,MATCH(D229,Suppliers!$B$7:$B$106,0)),"")="","–",B229+IFERROR(INDEX(Suppliers!$S$7:$S$106,MATCH(D229,Suppliers!$B$7:$B$106,0)),"")))</f>
        <v/>
      </c>
      <c r="N229" s="56" t="str">
        <f aca="false">IF(D229="","",IF(N(K229)&lt;=0,"Paid",IF(AND(ISNUMBER(M229),Setup!$C$11&gt;M229),"⚠ MSME late",IF(N(L229)&gt;0,"Overdue",IF(N(V229)&lt;=Setup!$C$9,"⚠ MSME due soon",IF(K229&lt;E229,"Part paid","Not due"))))))</f>
        <v/>
      </c>
      <c r="O229" s="50" t="str">
        <f aca="false">IF(AND(D229="",B229="",C229="",E229=""),"",IF(D229="","⚠ Pick supplier",IF(ISNA(MATCH(D229,Suppliers!$B$7:$B$106,0)),"⚠ Supplier not in list",IF(B229="","⚠ Enter bill date",IF(N(E229)&lt;=0,"⚠ Enter amount",IF(AND(C229&lt;&gt;"",COUNTIFS($D$8:$D$507,D229,$C$8:$C$507,C229)&gt;1),"⚠ Bill no. used twice",IF(N(I229)&gt;N(E229),"⚠ Paid more than bill","✔")))))))</f>
        <v/>
      </c>
      <c r="P229" s="9" t="n">
        <f aca="false">IF(D229="",0,MAX(0,N(E229)-N(I229)))</f>
        <v>0</v>
      </c>
      <c r="Q229" s="9" t="n">
        <f aca="false">IF(D229="",0,SUMIFS($P$8:$P$507,$D$8:$D$507,D229,$B$8:$B$507,"&lt;"&amp;B229)+SUMIFS($P$8:P228,$D$8:D228,D229,$B$8:B228,B229))</f>
        <v>0</v>
      </c>
      <c r="R229" s="9" t="n">
        <f aca="false">IF(D229="",0,IFERROR(INDEX(Suppliers!$R$7:$R$106,MATCH(D229,Suppliers!$B$7:$B$106,0)),0))</f>
        <v>0</v>
      </c>
      <c r="S229" s="9" t="str">
        <f aca="false">IF(N(K229)&gt;0,IF(H229="",99999,MIN(H229,IF(ISNUMBER(M229),M229,H229)))+ROW()/100000,"")</f>
        <v/>
      </c>
      <c r="U229" s="9" t="n">
        <f aca="false">IF(N(K229)&gt;0,N(L229),0)</f>
        <v>0</v>
      </c>
      <c r="V229" s="9" t="n">
        <f aca="false">IF(AND(N(K229)&gt;0,ISNUMBER(M229)),M229-Setup!$C$11,99999)</f>
        <v>99999</v>
      </c>
    </row>
    <row r="230" customFormat="false" ht="15" hidden="false" customHeight="false" outlineLevel="0" collapsed="false">
      <c r="A230" s="40" t="str">
        <f aca="false">IF(D230="","",ROW()-7)</f>
        <v/>
      </c>
      <c r="B230" s="79"/>
      <c r="C230" s="75"/>
      <c r="D230" s="76"/>
      <c r="E230" s="80"/>
      <c r="F230" s="79"/>
      <c r="G230" s="76"/>
      <c r="H230" s="54" t="str">
        <f aca="false">IF(OR(D230="",B230=""),"",IF(F230&lt;&gt;"",F230,B230+IFERROR(INDEX(Suppliers!$Q$7:$Q$106,MATCH(D230,Suppliers!$B$7:$B$106,0)),Setup!$C$7)))</f>
        <v/>
      </c>
      <c r="I230" s="46" t="str">
        <f aca="false">IF(OR(D230="",C230=""),IF(D230="","",0),SUMIFS(Payments!$D$8:$D$507,Payments!$C$8:$C$507,D230,Payments!$F$8:$F$507,C230))</f>
        <v/>
      </c>
      <c r="J230" s="46" t="str">
        <f aca="false">IF(D230="","",MIN(P230,MAX(0,R230-Q230)))</f>
        <v/>
      </c>
      <c r="K230" s="47" t="str">
        <f aca="false">IF(D230="","",P230-J230)</f>
        <v/>
      </c>
      <c r="L230" s="55" t="str">
        <f aca="false">IF(OR(D230="",N(K230)&lt;=0,H230=""),"",MAX(0,Setup!$C$11-H230))</f>
        <v/>
      </c>
      <c r="M230" s="54" t="str">
        <f aca="false">IF(OR(D230="",B230=""),"",IF(IFERROR(INDEX(Suppliers!$S$7:$S$106,MATCH(D230,Suppliers!$B$7:$B$106,0)),"")="","–",B230+IFERROR(INDEX(Suppliers!$S$7:$S$106,MATCH(D230,Suppliers!$B$7:$B$106,0)),"")))</f>
        <v/>
      </c>
      <c r="N230" s="56" t="str">
        <f aca="false">IF(D230="","",IF(N(K230)&lt;=0,"Paid",IF(AND(ISNUMBER(M230),Setup!$C$11&gt;M230),"⚠ MSME late",IF(N(L230)&gt;0,"Overdue",IF(N(V230)&lt;=Setup!$C$9,"⚠ MSME due soon",IF(K230&lt;E230,"Part paid","Not due"))))))</f>
        <v/>
      </c>
      <c r="O230" s="50" t="str">
        <f aca="false">IF(AND(D230="",B230="",C230="",E230=""),"",IF(D230="","⚠ Pick supplier",IF(ISNA(MATCH(D230,Suppliers!$B$7:$B$106,0)),"⚠ Supplier not in list",IF(B230="","⚠ Enter bill date",IF(N(E230)&lt;=0,"⚠ Enter amount",IF(AND(C230&lt;&gt;"",COUNTIFS($D$8:$D$507,D230,$C$8:$C$507,C230)&gt;1),"⚠ Bill no. used twice",IF(N(I230)&gt;N(E230),"⚠ Paid more than bill","✔")))))))</f>
        <v/>
      </c>
      <c r="P230" s="9" t="n">
        <f aca="false">IF(D230="",0,MAX(0,N(E230)-N(I230)))</f>
        <v>0</v>
      </c>
      <c r="Q230" s="9" t="n">
        <f aca="false">IF(D230="",0,SUMIFS($P$8:$P$507,$D$8:$D$507,D230,$B$8:$B$507,"&lt;"&amp;B230)+SUMIFS($P$8:P229,$D$8:D229,D230,$B$8:B229,B230))</f>
        <v>0</v>
      </c>
      <c r="R230" s="9" t="n">
        <f aca="false">IF(D230="",0,IFERROR(INDEX(Suppliers!$R$7:$R$106,MATCH(D230,Suppliers!$B$7:$B$106,0)),0))</f>
        <v>0</v>
      </c>
      <c r="S230" s="9" t="str">
        <f aca="false">IF(N(K230)&gt;0,IF(H230="",99999,MIN(H230,IF(ISNUMBER(M230),M230,H230)))+ROW()/100000,"")</f>
        <v/>
      </c>
      <c r="U230" s="9" t="n">
        <f aca="false">IF(N(K230)&gt;0,N(L230),0)</f>
        <v>0</v>
      </c>
      <c r="V230" s="9" t="n">
        <f aca="false">IF(AND(N(K230)&gt;0,ISNUMBER(M230)),M230-Setup!$C$11,99999)</f>
        <v>99999</v>
      </c>
    </row>
    <row r="231" customFormat="false" ht="15" hidden="false" customHeight="false" outlineLevel="0" collapsed="false">
      <c r="A231" s="40" t="str">
        <f aca="false">IF(D231="","",ROW()-7)</f>
        <v/>
      </c>
      <c r="B231" s="79"/>
      <c r="C231" s="75"/>
      <c r="D231" s="76"/>
      <c r="E231" s="80"/>
      <c r="F231" s="79"/>
      <c r="G231" s="76"/>
      <c r="H231" s="54" t="str">
        <f aca="false">IF(OR(D231="",B231=""),"",IF(F231&lt;&gt;"",F231,B231+IFERROR(INDEX(Suppliers!$Q$7:$Q$106,MATCH(D231,Suppliers!$B$7:$B$106,0)),Setup!$C$7)))</f>
        <v/>
      </c>
      <c r="I231" s="46" t="str">
        <f aca="false">IF(OR(D231="",C231=""),IF(D231="","",0),SUMIFS(Payments!$D$8:$D$507,Payments!$C$8:$C$507,D231,Payments!$F$8:$F$507,C231))</f>
        <v/>
      </c>
      <c r="J231" s="46" t="str">
        <f aca="false">IF(D231="","",MIN(P231,MAX(0,R231-Q231)))</f>
        <v/>
      </c>
      <c r="K231" s="47" t="str">
        <f aca="false">IF(D231="","",P231-J231)</f>
        <v/>
      </c>
      <c r="L231" s="55" t="str">
        <f aca="false">IF(OR(D231="",N(K231)&lt;=0,H231=""),"",MAX(0,Setup!$C$11-H231))</f>
        <v/>
      </c>
      <c r="M231" s="54" t="str">
        <f aca="false">IF(OR(D231="",B231=""),"",IF(IFERROR(INDEX(Suppliers!$S$7:$S$106,MATCH(D231,Suppliers!$B$7:$B$106,0)),"")="","–",B231+IFERROR(INDEX(Suppliers!$S$7:$S$106,MATCH(D231,Suppliers!$B$7:$B$106,0)),"")))</f>
        <v/>
      </c>
      <c r="N231" s="56" t="str">
        <f aca="false">IF(D231="","",IF(N(K231)&lt;=0,"Paid",IF(AND(ISNUMBER(M231),Setup!$C$11&gt;M231),"⚠ MSME late",IF(N(L231)&gt;0,"Overdue",IF(N(V231)&lt;=Setup!$C$9,"⚠ MSME due soon",IF(K231&lt;E231,"Part paid","Not due"))))))</f>
        <v/>
      </c>
      <c r="O231" s="50" t="str">
        <f aca="false">IF(AND(D231="",B231="",C231="",E231=""),"",IF(D231="","⚠ Pick supplier",IF(ISNA(MATCH(D231,Suppliers!$B$7:$B$106,0)),"⚠ Supplier not in list",IF(B231="","⚠ Enter bill date",IF(N(E231)&lt;=0,"⚠ Enter amount",IF(AND(C231&lt;&gt;"",COUNTIFS($D$8:$D$507,D231,$C$8:$C$507,C231)&gt;1),"⚠ Bill no. used twice",IF(N(I231)&gt;N(E231),"⚠ Paid more than bill","✔")))))))</f>
        <v/>
      </c>
      <c r="P231" s="9" t="n">
        <f aca="false">IF(D231="",0,MAX(0,N(E231)-N(I231)))</f>
        <v>0</v>
      </c>
      <c r="Q231" s="9" t="n">
        <f aca="false">IF(D231="",0,SUMIFS($P$8:$P$507,$D$8:$D$507,D231,$B$8:$B$507,"&lt;"&amp;B231)+SUMIFS($P$8:P230,$D$8:D230,D231,$B$8:B230,B231))</f>
        <v>0</v>
      </c>
      <c r="R231" s="9" t="n">
        <f aca="false">IF(D231="",0,IFERROR(INDEX(Suppliers!$R$7:$R$106,MATCH(D231,Suppliers!$B$7:$B$106,0)),0))</f>
        <v>0</v>
      </c>
      <c r="S231" s="9" t="str">
        <f aca="false">IF(N(K231)&gt;0,IF(H231="",99999,MIN(H231,IF(ISNUMBER(M231),M231,H231)))+ROW()/100000,"")</f>
        <v/>
      </c>
      <c r="U231" s="9" t="n">
        <f aca="false">IF(N(K231)&gt;0,N(L231),0)</f>
        <v>0</v>
      </c>
      <c r="V231" s="9" t="n">
        <f aca="false">IF(AND(N(K231)&gt;0,ISNUMBER(M231)),M231-Setup!$C$11,99999)</f>
        <v>99999</v>
      </c>
    </row>
    <row r="232" customFormat="false" ht="15" hidden="false" customHeight="false" outlineLevel="0" collapsed="false">
      <c r="A232" s="40" t="str">
        <f aca="false">IF(D232="","",ROW()-7)</f>
        <v/>
      </c>
      <c r="B232" s="79"/>
      <c r="C232" s="75"/>
      <c r="D232" s="76"/>
      <c r="E232" s="80"/>
      <c r="F232" s="79"/>
      <c r="G232" s="76"/>
      <c r="H232" s="54" t="str">
        <f aca="false">IF(OR(D232="",B232=""),"",IF(F232&lt;&gt;"",F232,B232+IFERROR(INDEX(Suppliers!$Q$7:$Q$106,MATCH(D232,Suppliers!$B$7:$B$106,0)),Setup!$C$7)))</f>
        <v/>
      </c>
      <c r="I232" s="46" t="str">
        <f aca="false">IF(OR(D232="",C232=""),IF(D232="","",0),SUMIFS(Payments!$D$8:$D$507,Payments!$C$8:$C$507,D232,Payments!$F$8:$F$507,C232))</f>
        <v/>
      </c>
      <c r="J232" s="46" t="str">
        <f aca="false">IF(D232="","",MIN(P232,MAX(0,R232-Q232)))</f>
        <v/>
      </c>
      <c r="K232" s="47" t="str">
        <f aca="false">IF(D232="","",P232-J232)</f>
        <v/>
      </c>
      <c r="L232" s="55" t="str">
        <f aca="false">IF(OR(D232="",N(K232)&lt;=0,H232=""),"",MAX(0,Setup!$C$11-H232))</f>
        <v/>
      </c>
      <c r="M232" s="54" t="str">
        <f aca="false">IF(OR(D232="",B232=""),"",IF(IFERROR(INDEX(Suppliers!$S$7:$S$106,MATCH(D232,Suppliers!$B$7:$B$106,0)),"")="","–",B232+IFERROR(INDEX(Suppliers!$S$7:$S$106,MATCH(D232,Suppliers!$B$7:$B$106,0)),"")))</f>
        <v/>
      </c>
      <c r="N232" s="56" t="str">
        <f aca="false">IF(D232="","",IF(N(K232)&lt;=0,"Paid",IF(AND(ISNUMBER(M232),Setup!$C$11&gt;M232),"⚠ MSME late",IF(N(L232)&gt;0,"Overdue",IF(N(V232)&lt;=Setup!$C$9,"⚠ MSME due soon",IF(K232&lt;E232,"Part paid","Not due"))))))</f>
        <v/>
      </c>
      <c r="O232" s="50" t="str">
        <f aca="false">IF(AND(D232="",B232="",C232="",E232=""),"",IF(D232="","⚠ Pick supplier",IF(ISNA(MATCH(D232,Suppliers!$B$7:$B$106,0)),"⚠ Supplier not in list",IF(B232="","⚠ Enter bill date",IF(N(E232)&lt;=0,"⚠ Enter amount",IF(AND(C232&lt;&gt;"",COUNTIFS($D$8:$D$507,D232,$C$8:$C$507,C232)&gt;1),"⚠ Bill no. used twice",IF(N(I232)&gt;N(E232),"⚠ Paid more than bill","✔")))))))</f>
        <v/>
      </c>
      <c r="P232" s="9" t="n">
        <f aca="false">IF(D232="",0,MAX(0,N(E232)-N(I232)))</f>
        <v>0</v>
      </c>
      <c r="Q232" s="9" t="n">
        <f aca="false">IF(D232="",0,SUMIFS($P$8:$P$507,$D$8:$D$507,D232,$B$8:$B$507,"&lt;"&amp;B232)+SUMIFS($P$8:P231,$D$8:D231,D232,$B$8:B231,B232))</f>
        <v>0</v>
      </c>
      <c r="R232" s="9" t="n">
        <f aca="false">IF(D232="",0,IFERROR(INDEX(Suppliers!$R$7:$R$106,MATCH(D232,Suppliers!$B$7:$B$106,0)),0))</f>
        <v>0</v>
      </c>
      <c r="S232" s="9" t="str">
        <f aca="false">IF(N(K232)&gt;0,IF(H232="",99999,MIN(H232,IF(ISNUMBER(M232),M232,H232)))+ROW()/100000,"")</f>
        <v/>
      </c>
      <c r="U232" s="9" t="n">
        <f aca="false">IF(N(K232)&gt;0,N(L232),0)</f>
        <v>0</v>
      </c>
      <c r="V232" s="9" t="n">
        <f aca="false">IF(AND(N(K232)&gt;0,ISNUMBER(M232)),M232-Setup!$C$11,99999)</f>
        <v>99999</v>
      </c>
    </row>
    <row r="233" customFormat="false" ht="15" hidden="false" customHeight="false" outlineLevel="0" collapsed="false">
      <c r="A233" s="40" t="str">
        <f aca="false">IF(D233="","",ROW()-7)</f>
        <v/>
      </c>
      <c r="B233" s="79"/>
      <c r="C233" s="75"/>
      <c r="D233" s="76"/>
      <c r="E233" s="80"/>
      <c r="F233" s="79"/>
      <c r="G233" s="76"/>
      <c r="H233" s="54" t="str">
        <f aca="false">IF(OR(D233="",B233=""),"",IF(F233&lt;&gt;"",F233,B233+IFERROR(INDEX(Suppliers!$Q$7:$Q$106,MATCH(D233,Suppliers!$B$7:$B$106,0)),Setup!$C$7)))</f>
        <v/>
      </c>
      <c r="I233" s="46" t="str">
        <f aca="false">IF(OR(D233="",C233=""),IF(D233="","",0),SUMIFS(Payments!$D$8:$D$507,Payments!$C$8:$C$507,D233,Payments!$F$8:$F$507,C233))</f>
        <v/>
      </c>
      <c r="J233" s="46" t="str">
        <f aca="false">IF(D233="","",MIN(P233,MAX(0,R233-Q233)))</f>
        <v/>
      </c>
      <c r="K233" s="47" t="str">
        <f aca="false">IF(D233="","",P233-J233)</f>
        <v/>
      </c>
      <c r="L233" s="55" t="str">
        <f aca="false">IF(OR(D233="",N(K233)&lt;=0,H233=""),"",MAX(0,Setup!$C$11-H233))</f>
        <v/>
      </c>
      <c r="M233" s="54" t="str">
        <f aca="false">IF(OR(D233="",B233=""),"",IF(IFERROR(INDEX(Suppliers!$S$7:$S$106,MATCH(D233,Suppliers!$B$7:$B$106,0)),"")="","–",B233+IFERROR(INDEX(Suppliers!$S$7:$S$106,MATCH(D233,Suppliers!$B$7:$B$106,0)),"")))</f>
        <v/>
      </c>
      <c r="N233" s="56" t="str">
        <f aca="false">IF(D233="","",IF(N(K233)&lt;=0,"Paid",IF(AND(ISNUMBER(M233),Setup!$C$11&gt;M233),"⚠ MSME late",IF(N(L233)&gt;0,"Overdue",IF(N(V233)&lt;=Setup!$C$9,"⚠ MSME due soon",IF(K233&lt;E233,"Part paid","Not due"))))))</f>
        <v/>
      </c>
      <c r="O233" s="50" t="str">
        <f aca="false">IF(AND(D233="",B233="",C233="",E233=""),"",IF(D233="","⚠ Pick supplier",IF(ISNA(MATCH(D233,Suppliers!$B$7:$B$106,0)),"⚠ Supplier not in list",IF(B233="","⚠ Enter bill date",IF(N(E233)&lt;=0,"⚠ Enter amount",IF(AND(C233&lt;&gt;"",COUNTIFS($D$8:$D$507,D233,$C$8:$C$507,C233)&gt;1),"⚠ Bill no. used twice",IF(N(I233)&gt;N(E233),"⚠ Paid more than bill","✔")))))))</f>
        <v/>
      </c>
      <c r="P233" s="9" t="n">
        <f aca="false">IF(D233="",0,MAX(0,N(E233)-N(I233)))</f>
        <v>0</v>
      </c>
      <c r="Q233" s="9" t="n">
        <f aca="false">IF(D233="",0,SUMIFS($P$8:$P$507,$D$8:$D$507,D233,$B$8:$B$507,"&lt;"&amp;B233)+SUMIFS($P$8:P232,$D$8:D232,D233,$B$8:B232,B233))</f>
        <v>0</v>
      </c>
      <c r="R233" s="9" t="n">
        <f aca="false">IF(D233="",0,IFERROR(INDEX(Suppliers!$R$7:$R$106,MATCH(D233,Suppliers!$B$7:$B$106,0)),0))</f>
        <v>0</v>
      </c>
      <c r="S233" s="9" t="str">
        <f aca="false">IF(N(K233)&gt;0,IF(H233="",99999,MIN(H233,IF(ISNUMBER(M233),M233,H233)))+ROW()/100000,"")</f>
        <v/>
      </c>
      <c r="U233" s="9" t="n">
        <f aca="false">IF(N(K233)&gt;0,N(L233),0)</f>
        <v>0</v>
      </c>
      <c r="V233" s="9" t="n">
        <f aca="false">IF(AND(N(K233)&gt;0,ISNUMBER(M233)),M233-Setup!$C$11,99999)</f>
        <v>99999</v>
      </c>
    </row>
    <row r="234" customFormat="false" ht="15" hidden="false" customHeight="false" outlineLevel="0" collapsed="false">
      <c r="A234" s="40" t="str">
        <f aca="false">IF(D234="","",ROW()-7)</f>
        <v/>
      </c>
      <c r="B234" s="79"/>
      <c r="C234" s="75"/>
      <c r="D234" s="76"/>
      <c r="E234" s="80"/>
      <c r="F234" s="79"/>
      <c r="G234" s="76"/>
      <c r="H234" s="54" t="str">
        <f aca="false">IF(OR(D234="",B234=""),"",IF(F234&lt;&gt;"",F234,B234+IFERROR(INDEX(Suppliers!$Q$7:$Q$106,MATCH(D234,Suppliers!$B$7:$B$106,0)),Setup!$C$7)))</f>
        <v/>
      </c>
      <c r="I234" s="46" t="str">
        <f aca="false">IF(OR(D234="",C234=""),IF(D234="","",0),SUMIFS(Payments!$D$8:$D$507,Payments!$C$8:$C$507,D234,Payments!$F$8:$F$507,C234))</f>
        <v/>
      </c>
      <c r="J234" s="46" t="str">
        <f aca="false">IF(D234="","",MIN(P234,MAX(0,R234-Q234)))</f>
        <v/>
      </c>
      <c r="K234" s="47" t="str">
        <f aca="false">IF(D234="","",P234-J234)</f>
        <v/>
      </c>
      <c r="L234" s="55" t="str">
        <f aca="false">IF(OR(D234="",N(K234)&lt;=0,H234=""),"",MAX(0,Setup!$C$11-H234))</f>
        <v/>
      </c>
      <c r="M234" s="54" t="str">
        <f aca="false">IF(OR(D234="",B234=""),"",IF(IFERROR(INDEX(Suppliers!$S$7:$S$106,MATCH(D234,Suppliers!$B$7:$B$106,0)),"")="","–",B234+IFERROR(INDEX(Suppliers!$S$7:$S$106,MATCH(D234,Suppliers!$B$7:$B$106,0)),"")))</f>
        <v/>
      </c>
      <c r="N234" s="56" t="str">
        <f aca="false">IF(D234="","",IF(N(K234)&lt;=0,"Paid",IF(AND(ISNUMBER(M234),Setup!$C$11&gt;M234),"⚠ MSME late",IF(N(L234)&gt;0,"Overdue",IF(N(V234)&lt;=Setup!$C$9,"⚠ MSME due soon",IF(K234&lt;E234,"Part paid","Not due"))))))</f>
        <v/>
      </c>
      <c r="O234" s="50" t="str">
        <f aca="false">IF(AND(D234="",B234="",C234="",E234=""),"",IF(D234="","⚠ Pick supplier",IF(ISNA(MATCH(D234,Suppliers!$B$7:$B$106,0)),"⚠ Supplier not in list",IF(B234="","⚠ Enter bill date",IF(N(E234)&lt;=0,"⚠ Enter amount",IF(AND(C234&lt;&gt;"",COUNTIFS($D$8:$D$507,D234,$C$8:$C$507,C234)&gt;1),"⚠ Bill no. used twice",IF(N(I234)&gt;N(E234),"⚠ Paid more than bill","✔")))))))</f>
        <v/>
      </c>
      <c r="P234" s="9" t="n">
        <f aca="false">IF(D234="",0,MAX(0,N(E234)-N(I234)))</f>
        <v>0</v>
      </c>
      <c r="Q234" s="9" t="n">
        <f aca="false">IF(D234="",0,SUMIFS($P$8:$P$507,$D$8:$D$507,D234,$B$8:$B$507,"&lt;"&amp;B234)+SUMIFS($P$8:P233,$D$8:D233,D234,$B$8:B233,B234))</f>
        <v>0</v>
      </c>
      <c r="R234" s="9" t="n">
        <f aca="false">IF(D234="",0,IFERROR(INDEX(Suppliers!$R$7:$R$106,MATCH(D234,Suppliers!$B$7:$B$106,0)),0))</f>
        <v>0</v>
      </c>
      <c r="S234" s="9" t="str">
        <f aca="false">IF(N(K234)&gt;0,IF(H234="",99999,MIN(H234,IF(ISNUMBER(M234),M234,H234)))+ROW()/100000,"")</f>
        <v/>
      </c>
      <c r="U234" s="9" t="n">
        <f aca="false">IF(N(K234)&gt;0,N(L234),0)</f>
        <v>0</v>
      </c>
      <c r="V234" s="9" t="n">
        <f aca="false">IF(AND(N(K234)&gt;0,ISNUMBER(M234)),M234-Setup!$C$11,99999)</f>
        <v>99999</v>
      </c>
    </row>
    <row r="235" customFormat="false" ht="15" hidden="false" customHeight="false" outlineLevel="0" collapsed="false">
      <c r="A235" s="40" t="str">
        <f aca="false">IF(D235="","",ROW()-7)</f>
        <v/>
      </c>
      <c r="B235" s="79"/>
      <c r="C235" s="75"/>
      <c r="D235" s="76"/>
      <c r="E235" s="80"/>
      <c r="F235" s="79"/>
      <c r="G235" s="76"/>
      <c r="H235" s="54" t="str">
        <f aca="false">IF(OR(D235="",B235=""),"",IF(F235&lt;&gt;"",F235,B235+IFERROR(INDEX(Suppliers!$Q$7:$Q$106,MATCH(D235,Suppliers!$B$7:$B$106,0)),Setup!$C$7)))</f>
        <v/>
      </c>
      <c r="I235" s="46" t="str">
        <f aca="false">IF(OR(D235="",C235=""),IF(D235="","",0),SUMIFS(Payments!$D$8:$D$507,Payments!$C$8:$C$507,D235,Payments!$F$8:$F$507,C235))</f>
        <v/>
      </c>
      <c r="J235" s="46" t="str">
        <f aca="false">IF(D235="","",MIN(P235,MAX(0,R235-Q235)))</f>
        <v/>
      </c>
      <c r="K235" s="47" t="str">
        <f aca="false">IF(D235="","",P235-J235)</f>
        <v/>
      </c>
      <c r="L235" s="55" t="str">
        <f aca="false">IF(OR(D235="",N(K235)&lt;=0,H235=""),"",MAX(0,Setup!$C$11-H235))</f>
        <v/>
      </c>
      <c r="M235" s="54" t="str">
        <f aca="false">IF(OR(D235="",B235=""),"",IF(IFERROR(INDEX(Suppliers!$S$7:$S$106,MATCH(D235,Suppliers!$B$7:$B$106,0)),"")="","–",B235+IFERROR(INDEX(Suppliers!$S$7:$S$106,MATCH(D235,Suppliers!$B$7:$B$106,0)),"")))</f>
        <v/>
      </c>
      <c r="N235" s="56" t="str">
        <f aca="false">IF(D235="","",IF(N(K235)&lt;=0,"Paid",IF(AND(ISNUMBER(M235),Setup!$C$11&gt;M235),"⚠ MSME late",IF(N(L235)&gt;0,"Overdue",IF(N(V235)&lt;=Setup!$C$9,"⚠ MSME due soon",IF(K235&lt;E235,"Part paid","Not due"))))))</f>
        <v/>
      </c>
      <c r="O235" s="50" t="str">
        <f aca="false">IF(AND(D235="",B235="",C235="",E235=""),"",IF(D235="","⚠ Pick supplier",IF(ISNA(MATCH(D235,Suppliers!$B$7:$B$106,0)),"⚠ Supplier not in list",IF(B235="","⚠ Enter bill date",IF(N(E235)&lt;=0,"⚠ Enter amount",IF(AND(C235&lt;&gt;"",COUNTIFS($D$8:$D$507,D235,$C$8:$C$507,C235)&gt;1),"⚠ Bill no. used twice",IF(N(I235)&gt;N(E235),"⚠ Paid more than bill","✔")))))))</f>
        <v/>
      </c>
      <c r="P235" s="9" t="n">
        <f aca="false">IF(D235="",0,MAX(0,N(E235)-N(I235)))</f>
        <v>0</v>
      </c>
      <c r="Q235" s="9" t="n">
        <f aca="false">IF(D235="",0,SUMIFS($P$8:$P$507,$D$8:$D$507,D235,$B$8:$B$507,"&lt;"&amp;B235)+SUMIFS($P$8:P234,$D$8:D234,D235,$B$8:B234,B235))</f>
        <v>0</v>
      </c>
      <c r="R235" s="9" t="n">
        <f aca="false">IF(D235="",0,IFERROR(INDEX(Suppliers!$R$7:$R$106,MATCH(D235,Suppliers!$B$7:$B$106,0)),0))</f>
        <v>0</v>
      </c>
      <c r="S235" s="9" t="str">
        <f aca="false">IF(N(K235)&gt;0,IF(H235="",99999,MIN(H235,IF(ISNUMBER(M235),M235,H235)))+ROW()/100000,"")</f>
        <v/>
      </c>
      <c r="U235" s="9" t="n">
        <f aca="false">IF(N(K235)&gt;0,N(L235),0)</f>
        <v>0</v>
      </c>
      <c r="V235" s="9" t="n">
        <f aca="false">IF(AND(N(K235)&gt;0,ISNUMBER(M235)),M235-Setup!$C$11,99999)</f>
        <v>99999</v>
      </c>
    </row>
    <row r="236" customFormat="false" ht="15" hidden="false" customHeight="false" outlineLevel="0" collapsed="false">
      <c r="A236" s="40" t="str">
        <f aca="false">IF(D236="","",ROW()-7)</f>
        <v/>
      </c>
      <c r="B236" s="79"/>
      <c r="C236" s="75"/>
      <c r="D236" s="76"/>
      <c r="E236" s="80"/>
      <c r="F236" s="79"/>
      <c r="G236" s="76"/>
      <c r="H236" s="54" t="str">
        <f aca="false">IF(OR(D236="",B236=""),"",IF(F236&lt;&gt;"",F236,B236+IFERROR(INDEX(Suppliers!$Q$7:$Q$106,MATCH(D236,Suppliers!$B$7:$B$106,0)),Setup!$C$7)))</f>
        <v/>
      </c>
      <c r="I236" s="46" t="str">
        <f aca="false">IF(OR(D236="",C236=""),IF(D236="","",0),SUMIFS(Payments!$D$8:$D$507,Payments!$C$8:$C$507,D236,Payments!$F$8:$F$507,C236))</f>
        <v/>
      </c>
      <c r="J236" s="46" t="str">
        <f aca="false">IF(D236="","",MIN(P236,MAX(0,R236-Q236)))</f>
        <v/>
      </c>
      <c r="K236" s="47" t="str">
        <f aca="false">IF(D236="","",P236-J236)</f>
        <v/>
      </c>
      <c r="L236" s="55" t="str">
        <f aca="false">IF(OR(D236="",N(K236)&lt;=0,H236=""),"",MAX(0,Setup!$C$11-H236))</f>
        <v/>
      </c>
      <c r="M236" s="54" t="str">
        <f aca="false">IF(OR(D236="",B236=""),"",IF(IFERROR(INDEX(Suppliers!$S$7:$S$106,MATCH(D236,Suppliers!$B$7:$B$106,0)),"")="","–",B236+IFERROR(INDEX(Suppliers!$S$7:$S$106,MATCH(D236,Suppliers!$B$7:$B$106,0)),"")))</f>
        <v/>
      </c>
      <c r="N236" s="56" t="str">
        <f aca="false">IF(D236="","",IF(N(K236)&lt;=0,"Paid",IF(AND(ISNUMBER(M236),Setup!$C$11&gt;M236),"⚠ MSME late",IF(N(L236)&gt;0,"Overdue",IF(N(V236)&lt;=Setup!$C$9,"⚠ MSME due soon",IF(K236&lt;E236,"Part paid","Not due"))))))</f>
        <v/>
      </c>
      <c r="O236" s="50" t="str">
        <f aca="false">IF(AND(D236="",B236="",C236="",E236=""),"",IF(D236="","⚠ Pick supplier",IF(ISNA(MATCH(D236,Suppliers!$B$7:$B$106,0)),"⚠ Supplier not in list",IF(B236="","⚠ Enter bill date",IF(N(E236)&lt;=0,"⚠ Enter amount",IF(AND(C236&lt;&gt;"",COUNTIFS($D$8:$D$507,D236,$C$8:$C$507,C236)&gt;1),"⚠ Bill no. used twice",IF(N(I236)&gt;N(E236),"⚠ Paid more than bill","✔")))))))</f>
        <v/>
      </c>
      <c r="P236" s="9" t="n">
        <f aca="false">IF(D236="",0,MAX(0,N(E236)-N(I236)))</f>
        <v>0</v>
      </c>
      <c r="Q236" s="9" t="n">
        <f aca="false">IF(D236="",0,SUMIFS($P$8:$P$507,$D$8:$D$507,D236,$B$8:$B$507,"&lt;"&amp;B236)+SUMIFS($P$8:P235,$D$8:D235,D236,$B$8:B235,B236))</f>
        <v>0</v>
      </c>
      <c r="R236" s="9" t="n">
        <f aca="false">IF(D236="",0,IFERROR(INDEX(Suppliers!$R$7:$R$106,MATCH(D236,Suppliers!$B$7:$B$106,0)),0))</f>
        <v>0</v>
      </c>
      <c r="S236" s="9" t="str">
        <f aca="false">IF(N(K236)&gt;0,IF(H236="",99999,MIN(H236,IF(ISNUMBER(M236),M236,H236)))+ROW()/100000,"")</f>
        <v/>
      </c>
      <c r="U236" s="9" t="n">
        <f aca="false">IF(N(K236)&gt;0,N(L236),0)</f>
        <v>0</v>
      </c>
      <c r="V236" s="9" t="n">
        <f aca="false">IF(AND(N(K236)&gt;0,ISNUMBER(M236)),M236-Setup!$C$11,99999)</f>
        <v>99999</v>
      </c>
    </row>
    <row r="237" customFormat="false" ht="15" hidden="false" customHeight="false" outlineLevel="0" collapsed="false">
      <c r="A237" s="40" t="str">
        <f aca="false">IF(D237="","",ROW()-7)</f>
        <v/>
      </c>
      <c r="B237" s="79"/>
      <c r="C237" s="75"/>
      <c r="D237" s="76"/>
      <c r="E237" s="80"/>
      <c r="F237" s="79"/>
      <c r="G237" s="76"/>
      <c r="H237" s="54" t="str">
        <f aca="false">IF(OR(D237="",B237=""),"",IF(F237&lt;&gt;"",F237,B237+IFERROR(INDEX(Suppliers!$Q$7:$Q$106,MATCH(D237,Suppliers!$B$7:$B$106,0)),Setup!$C$7)))</f>
        <v/>
      </c>
      <c r="I237" s="46" t="str">
        <f aca="false">IF(OR(D237="",C237=""),IF(D237="","",0),SUMIFS(Payments!$D$8:$D$507,Payments!$C$8:$C$507,D237,Payments!$F$8:$F$507,C237))</f>
        <v/>
      </c>
      <c r="J237" s="46" t="str">
        <f aca="false">IF(D237="","",MIN(P237,MAX(0,R237-Q237)))</f>
        <v/>
      </c>
      <c r="K237" s="47" t="str">
        <f aca="false">IF(D237="","",P237-J237)</f>
        <v/>
      </c>
      <c r="L237" s="55" t="str">
        <f aca="false">IF(OR(D237="",N(K237)&lt;=0,H237=""),"",MAX(0,Setup!$C$11-H237))</f>
        <v/>
      </c>
      <c r="M237" s="54" t="str">
        <f aca="false">IF(OR(D237="",B237=""),"",IF(IFERROR(INDEX(Suppliers!$S$7:$S$106,MATCH(D237,Suppliers!$B$7:$B$106,0)),"")="","–",B237+IFERROR(INDEX(Suppliers!$S$7:$S$106,MATCH(D237,Suppliers!$B$7:$B$106,0)),"")))</f>
        <v/>
      </c>
      <c r="N237" s="56" t="str">
        <f aca="false">IF(D237="","",IF(N(K237)&lt;=0,"Paid",IF(AND(ISNUMBER(M237),Setup!$C$11&gt;M237),"⚠ MSME late",IF(N(L237)&gt;0,"Overdue",IF(N(V237)&lt;=Setup!$C$9,"⚠ MSME due soon",IF(K237&lt;E237,"Part paid","Not due"))))))</f>
        <v/>
      </c>
      <c r="O237" s="50" t="str">
        <f aca="false">IF(AND(D237="",B237="",C237="",E237=""),"",IF(D237="","⚠ Pick supplier",IF(ISNA(MATCH(D237,Suppliers!$B$7:$B$106,0)),"⚠ Supplier not in list",IF(B237="","⚠ Enter bill date",IF(N(E237)&lt;=0,"⚠ Enter amount",IF(AND(C237&lt;&gt;"",COUNTIFS($D$8:$D$507,D237,$C$8:$C$507,C237)&gt;1),"⚠ Bill no. used twice",IF(N(I237)&gt;N(E237),"⚠ Paid more than bill","✔")))))))</f>
        <v/>
      </c>
      <c r="P237" s="9" t="n">
        <f aca="false">IF(D237="",0,MAX(0,N(E237)-N(I237)))</f>
        <v>0</v>
      </c>
      <c r="Q237" s="9" t="n">
        <f aca="false">IF(D237="",0,SUMIFS($P$8:$P$507,$D$8:$D$507,D237,$B$8:$B$507,"&lt;"&amp;B237)+SUMIFS($P$8:P236,$D$8:D236,D237,$B$8:B236,B237))</f>
        <v>0</v>
      </c>
      <c r="R237" s="9" t="n">
        <f aca="false">IF(D237="",0,IFERROR(INDEX(Suppliers!$R$7:$R$106,MATCH(D237,Suppliers!$B$7:$B$106,0)),0))</f>
        <v>0</v>
      </c>
      <c r="S237" s="9" t="str">
        <f aca="false">IF(N(K237)&gt;0,IF(H237="",99999,MIN(H237,IF(ISNUMBER(M237),M237,H237)))+ROW()/100000,"")</f>
        <v/>
      </c>
      <c r="U237" s="9" t="n">
        <f aca="false">IF(N(K237)&gt;0,N(L237),0)</f>
        <v>0</v>
      </c>
      <c r="V237" s="9" t="n">
        <f aca="false">IF(AND(N(K237)&gt;0,ISNUMBER(M237)),M237-Setup!$C$11,99999)</f>
        <v>99999</v>
      </c>
    </row>
    <row r="238" customFormat="false" ht="15" hidden="false" customHeight="false" outlineLevel="0" collapsed="false">
      <c r="A238" s="40" t="str">
        <f aca="false">IF(D238="","",ROW()-7)</f>
        <v/>
      </c>
      <c r="B238" s="79"/>
      <c r="C238" s="75"/>
      <c r="D238" s="76"/>
      <c r="E238" s="80"/>
      <c r="F238" s="79"/>
      <c r="G238" s="76"/>
      <c r="H238" s="54" t="str">
        <f aca="false">IF(OR(D238="",B238=""),"",IF(F238&lt;&gt;"",F238,B238+IFERROR(INDEX(Suppliers!$Q$7:$Q$106,MATCH(D238,Suppliers!$B$7:$B$106,0)),Setup!$C$7)))</f>
        <v/>
      </c>
      <c r="I238" s="46" t="str">
        <f aca="false">IF(OR(D238="",C238=""),IF(D238="","",0),SUMIFS(Payments!$D$8:$D$507,Payments!$C$8:$C$507,D238,Payments!$F$8:$F$507,C238))</f>
        <v/>
      </c>
      <c r="J238" s="46" t="str">
        <f aca="false">IF(D238="","",MIN(P238,MAX(0,R238-Q238)))</f>
        <v/>
      </c>
      <c r="K238" s="47" t="str">
        <f aca="false">IF(D238="","",P238-J238)</f>
        <v/>
      </c>
      <c r="L238" s="55" t="str">
        <f aca="false">IF(OR(D238="",N(K238)&lt;=0,H238=""),"",MAX(0,Setup!$C$11-H238))</f>
        <v/>
      </c>
      <c r="M238" s="54" t="str">
        <f aca="false">IF(OR(D238="",B238=""),"",IF(IFERROR(INDEX(Suppliers!$S$7:$S$106,MATCH(D238,Suppliers!$B$7:$B$106,0)),"")="","–",B238+IFERROR(INDEX(Suppliers!$S$7:$S$106,MATCH(D238,Suppliers!$B$7:$B$106,0)),"")))</f>
        <v/>
      </c>
      <c r="N238" s="56" t="str">
        <f aca="false">IF(D238="","",IF(N(K238)&lt;=0,"Paid",IF(AND(ISNUMBER(M238),Setup!$C$11&gt;M238),"⚠ MSME late",IF(N(L238)&gt;0,"Overdue",IF(N(V238)&lt;=Setup!$C$9,"⚠ MSME due soon",IF(K238&lt;E238,"Part paid","Not due"))))))</f>
        <v/>
      </c>
      <c r="O238" s="50" t="str">
        <f aca="false">IF(AND(D238="",B238="",C238="",E238=""),"",IF(D238="","⚠ Pick supplier",IF(ISNA(MATCH(D238,Suppliers!$B$7:$B$106,0)),"⚠ Supplier not in list",IF(B238="","⚠ Enter bill date",IF(N(E238)&lt;=0,"⚠ Enter amount",IF(AND(C238&lt;&gt;"",COUNTIFS($D$8:$D$507,D238,$C$8:$C$507,C238)&gt;1),"⚠ Bill no. used twice",IF(N(I238)&gt;N(E238),"⚠ Paid more than bill","✔")))))))</f>
        <v/>
      </c>
      <c r="P238" s="9" t="n">
        <f aca="false">IF(D238="",0,MAX(0,N(E238)-N(I238)))</f>
        <v>0</v>
      </c>
      <c r="Q238" s="9" t="n">
        <f aca="false">IF(D238="",0,SUMIFS($P$8:$P$507,$D$8:$D$507,D238,$B$8:$B$507,"&lt;"&amp;B238)+SUMIFS($P$8:P237,$D$8:D237,D238,$B$8:B237,B238))</f>
        <v>0</v>
      </c>
      <c r="R238" s="9" t="n">
        <f aca="false">IF(D238="",0,IFERROR(INDEX(Suppliers!$R$7:$R$106,MATCH(D238,Suppliers!$B$7:$B$106,0)),0))</f>
        <v>0</v>
      </c>
      <c r="S238" s="9" t="str">
        <f aca="false">IF(N(K238)&gt;0,IF(H238="",99999,MIN(H238,IF(ISNUMBER(M238),M238,H238)))+ROW()/100000,"")</f>
        <v/>
      </c>
      <c r="U238" s="9" t="n">
        <f aca="false">IF(N(K238)&gt;0,N(L238),0)</f>
        <v>0</v>
      </c>
      <c r="V238" s="9" t="n">
        <f aca="false">IF(AND(N(K238)&gt;0,ISNUMBER(M238)),M238-Setup!$C$11,99999)</f>
        <v>99999</v>
      </c>
    </row>
    <row r="239" customFormat="false" ht="15" hidden="false" customHeight="false" outlineLevel="0" collapsed="false">
      <c r="A239" s="40" t="str">
        <f aca="false">IF(D239="","",ROW()-7)</f>
        <v/>
      </c>
      <c r="B239" s="79"/>
      <c r="C239" s="75"/>
      <c r="D239" s="76"/>
      <c r="E239" s="80"/>
      <c r="F239" s="79"/>
      <c r="G239" s="76"/>
      <c r="H239" s="54" t="str">
        <f aca="false">IF(OR(D239="",B239=""),"",IF(F239&lt;&gt;"",F239,B239+IFERROR(INDEX(Suppliers!$Q$7:$Q$106,MATCH(D239,Suppliers!$B$7:$B$106,0)),Setup!$C$7)))</f>
        <v/>
      </c>
      <c r="I239" s="46" t="str">
        <f aca="false">IF(OR(D239="",C239=""),IF(D239="","",0),SUMIFS(Payments!$D$8:$D$507,Payments!$C$8:$C$507,D239,Payments!$F$8:$F$507,C239))</f>
        <v/>
      </c>
      <c r="J239" s="46" t="str">
        <f aca="false">IF(D239="","",MIN(P239,MAX(0,R239-Q239)))</f>
        <v/>
      </c>
      <c r="K239" s="47" t="str">
        <f aca="false">IF(D239="","",P239-J239)</f>
        <v/>
      </c>
      <c r="L239" s="55" t="str">
        <f aca="false">IF(OR(D239="",N(K239)&lt;=0,H239=""),"",MAX(0,Setup!$C$11-H239))</f>
        <v/>
      </c>
      <c r="M239" s="54" t="str">
        <f aca="false">IF(OR(D239="",B239=""),"",IF(IFERROR(INDEX(Suppliers!$S$7:$S$106,MATCH(D239,Suppliers!$B$7:$B$106,0)),"")="","–",B239+IFERROR(INDEX(Suppliers!$S$7:$S$106,MATCH(D239,Suppliers!$B$7:$B$106,0)),"")))</f>
        <v/>
      </c>
      <c r="N239" s="56" t="str">
        <f aca="false">IF(D239="","",IF(N(K239)&lt;=0,"Paid",IF(AND(ISNUMBER(M239),Setup!$C$11&gt;M239),"⚠ MSME late",IF(N(L239)&gt;0,"Overdue",IF(N(V239)&lt;=Setup!$C$9,"⚠ MSME due soon",IF(K239&lt;E239,"Part paid","Not due"))))))</f>
        <v/>
      </c>
      <c r="O239" s="50" t="str">
        <f aca="false">IF(AND(D239="",B239="",C239="",E239=""),"",IF(D239="","⚠ Pick supplier",IF(ISNA(MATCH(D239,Suppliers!$B$7:$B$106,0)),"⚠ Supplier not in list",IF(B239="","⚠ Enter bill date",IF(N(E239)&lt;=0,"⚠ Enter amount",IF(AND(C239&lt;&gt;"",COUNTIFS($D$8:$D$507,D239,$C$8:$C$507,C239)&gt;1),"⚠ Bill no. used twice",IF(N(I239)&gt;N(E239),"⚠ Paid more than bill","✔")))))))</f>
        <v/>
      </c>
      <c r="P239" s="9" t="n">
        <f aca="false">IF(D239="",0,MAX(0,N(E239)-N(I239)))</f>
        <v>0</v>
      </c>
      <c r="Q239" s="9" t="n">
        <f aca="false">IF(D239="",0,SUMIFS($P$8:$P$507,$D$8:$D$507,D239,$B$8:$B$507,"&lt;"&amp;B239)+SUMIFS($P$8:P238,$D$8:D238,D239,$B$8:B238,B239))</f>
        <v>0</v>
      </c>
      <c r="R239" s="9" t="n">
        <f aca="false">IF(D239="",0,IFERROR(INDEX(Suppliers!$R$7:$R$106,MATCH(D239,Suppliers!$B$7:$B$106,0)),0))</f>
        <v>0</v>
      </c>
      <c r="S239" s="9" t="str">
        <f aca="false">IF(N(K239)&gt;0,IF(H239="",99999,MIN(H239,IF(ISNUMBER(M239),M239,H239)))+ROW()/100000,"")</f>
        <v/>
      </c>
      <c r="U239" s="9" t="n">
        <f aca="false">IF(N(K239)&gt;0,N(L239),0)</f>
        <v>0</v>
      </c>
      <c r="V239" s="9" t="n">
        <f aca="false">IF(AND(N(K239)&gt;0,ISNUMBER(M239)),M239-Setup!$C$11,99999)</f>
        <v>99999</v>
      </c>
    </row>
    <row r="240" customFormat="false" ht="15" hidden="false" customHeight="false" outlineLevel="0" collapsed="false">
      <c r="A240" s="40" t="str">
        <f aca="false">IF(D240="","",ROW()-7)</f>
        <v/>
      </c>
      <c r="B240" s="79"/>
      <c r="C240" s="75"/>
      <c r="D240" s="76"/>
      <c r="E240" s="80"/>
      <c r="F240" s="79"/>
      <c r="G240" s="76"/>
      <c r="H240" s="54" t="str">
        <f aca="false">IF(OR(D240="",B240=""),"",IF(F240&lt;&gt;"",F240,B240+IFERROR(INDEX(Suppliers!$Q$7:$Q$106,MATCH(D240,Suppliers!$B$7:$B$106,0)),Setup!$C$7)))</f>
        <v/>
      </c>
      <c r="I240" s="46" t="str">
        <f aca="false">IF(OR(D240="",C240=""),IF(D240="","",0),SUMIFS(Payments!$D$8:$D$507,Payments!$C$8:$C$507,D240,Payments!$F$8:$F$507,C240))</f>
        <v/>
      </c>
      <c r="J240" s="46" t="str">
        <f aca="false">IF(D240="","",MIN(P240,MAX(0,R240-Q240)))</f>
        <v/>
      </c>
      <c r="K240" s="47" t="str">
        <f aca="false">IF(D240="","",P240-J240)</f>
        <v/>
      </c>
      <c r="L240" s="55" t="str">
        <f aca="false">IF(OR(D240="",N(K240)&lt;=0,H240=""),"",MAX(0,Setup!$C$11-H240))</f>
        <v/>
      </c>
      <c r="M240" s="54" t="str">
        <f aca="false">IF(OR(D240="",B240=""),"",IF(IFERROR(INDEX(Suppliers!$S$7:$S$106,MATCH(D240,Suppliers!$B$7:$B$106,0)),"")="","–",B240+IFERROR(INDEX(Suppliers!$S$7:$S$106,MATCH(D240,Suppliers!$B$7:$B$106,0)),"")))</f>
        <v/>
      </c>
      <c r="N240" s="56" t="str">
        <f aca="false">IF(D240="","",IF(N(K240)&lt;=0,"Paid",IF(AND(ISNUMBER(M240),Setup!$C$11&gt;M240),"⚠ MSME late",IF(N(L240)&gt;0,"Overdue",IF(N(V240)&lt;=Setup!$C$9,"⚠ MSME due soon",IF(K240&lt;E240,"Part paid","Not due"))))))</f>
        <v/>
      </c>
      <c r="O240" s="50" t="str">
        <f aca="false">IF(AND(D240="",B240="",C240="",E240=""),"",IF(D240="","⚠ Pick supplier",IF(ISNA(MATCH(D240,Suppliers!$B$7:$B$106,0)),"⚠ Supplier not in list",IF(B240="","⚠ Enter bill date",IF(N(E240)&lt;=0,"⚠ Enter amount",IF(AND(C240&lt;&gt;"",COUNTIFS($D$8:$D$507,D240,$C$8:$C$507,C240)&gt;1),"⚠ Bill no. used twice",IF(N(I240)&gt;N(E240),"⚠ Paid more than bill","✔")))))))</f>
        <v/>
      </c>
      <c r="P240" s="9" t="n">
        <f aca="false">IF(D240="",0,MAX(0,N(E240)-N(I240)))</f>
        <v>0</v>
      </c>
      <c r="Q240" s="9" t="n">
        <f aca="false">IF(D240="",0,SUMIFS($P$8:$P$507,$D$8:$D$507,D240,$B$8:$B$507,"&lt;"&amp;B240)+SUMIFS($P$8:P239,$D$8:D239,D240,$B$8:B239,B240))</f>
        <v>0</v>
      </c>
      <c r="R240" s="9" t="n">
        <f aca="false">IF(D240="",0,IFERROR(INDEX(Suppliers!$R$7:$R$106,MATCH(D240,Suppliers!$B$7:$B$106,0)),0))</f>
        <v>0</v>
      </c>
      <c r="S240" s="9" t="str">
        <f aca="false">IF(N(K240)&gt;0,IF(H240="",99999,MIN(H240,IF(ISNUMBER(M240),M240,H240)))+ROW()/100000,"")</f>
        <v/>
      </c>
      <c r="U240" s="9" t="n">
        <f aca="false">IF(N(K240)&gt;0,N(L240),0)</f>
        <v>0</v>
      </c>
      <c r="V240" s="9" t="n">
        <f aca="false">IF(AND(N(K240)&gt;0,ISNUMBER(M240)),M240-Setup!$C$11,99999)</f>
        <v>99999</v>
      </c>
    </row>
    <row r="241" customFormat="false" ht="15" hidden="false" customHeight="false" outlineLevel="0" collapsed="false">
      <c r="A241" s="40" t="str">
        <f aca="false">IF(D241="","",ROW()-7)</f>
        <v/>
      </c>
      <c r="B241" s="79"/>
      <c r="C241" s="75"/>
      <c r="D241" s="76"/>
      <c r="E241" s="80"/>
      <c r="F241" s="79"/>
      <c r="G241" s="76"/>
      <c r="H241" s="54" t="str">
        <f aca="false">IF(OR(D241="",B241=""),"",IF(F241&lt;&gt;"",F241,B241+IFERROR(INDEX(Suppliers!$Q$7:$Q$106,MATCH(D241,Suppliers!$B$7:$B$106,0)),Setup!$C$7)))</f>
        <v/>
      </c>
      <c r="I241" s="46" t="str">
        <f aca="false">IF(OR(D241="",C241=""),IF(D241="","",0),SUMIFS(Payments!$D$8:$D$507,Payments!$C$8:$C$507,D241,Payments!$F$8:$F$507,C241))</f>
        <v/>
      </c>
      <c r="J241" s="46" t="str">
        <f aca="false">IF(D241="","",MIN(P241,MAX(0,R241-Q241)))</f>
        <v/>
      </c>
      <c r="K241" s="47" t="str">
        <f aca="false">IF(D241="","",P241-J241)</f>
        <v/>
      </c>
      <c r="L241" s="55" t="str">
        <f aca="false">IF(OR(D241="",N(K241)&lt;=0,H241=""),"",MAX(0,Setup!$C$11-H241))</f>
        <v/>
      </c>
      <c r="M241" s="54" t="str">
        <f aca="false">IF(OR(D241="",B241=""),"",IF(IFERROR(INDEX(Suppliers!$S$7:$S$106,MATCH(D241,Suppliers!$B$7:$B$106,0)),"")="","–",B241+IFERROR(INDEX(Suppliers!$S$7:$S$106,MATCH(D241,Suppliers!$B$7:$B$106,0)),"")))</f>
        <v/>
      </c>
      <c r="N241" s="56" t="str">
        <f aca="false">IF(D241="","",IF(N(K241)&lt;=0,"Paid",IF(AND(ISNUMBER(M241),Setup!$C$11&gt;M241),"⚠ MSME late",IF(N(L241)&gt;0,"Overdue",IF(N(V241)&lt;=Setup!$C$9,"⚠ MSME due soon",IF(K241&lt;E241,"Part paid","Not due"))))))</f>
        <v/>
      </c>
      <c r="O241" s="50" t="str">
        <f aca="false">IF(AND(D241="",B241="",C241="",E241=""),"",IF(D241="","⚠ Pick supplier",IF(ISNA(MATCH(D241,Suppliers!$B$7:$B$106,0)),"⚠ Supplier not in list",IF(B241="","⚠ Enter bill date",IF(N(E241)&lt;=0,"⚠ Enter amount",IF(AND(C241&lt;&gt;"",COUNTIFS($D$8:$D$507,D241,$C$8:$C$507,C241)&gt;1),"⚠ Bill no. used twice",IF(N(I241)&gt;N(E241),"⚠ Paid more than bill","✔")))))))</f>
        <v/>
      </c>
      <c r="P241" s="9" t="n">
        <f aca="false">IF(D241="",0,MAX(0,N(E241)-N(I241)))</f>
        <v>0</v>
      </c>
      <c r="Q241" s="9" t="n">
        <f aca="false">IF(D241="",0,SUMIFS($P$8:$P$507,$D$8:$D$507,D241,$B$8:$B$507,"&lt;"&amp;B241)+SUMIFS($P$8:P240,$D$8:D240,D241,$B$8:B240,B241))</f>
        <v>0</v>
      </c>
      <c r="R241" s="9" t="n">
        <f aca="false">IF(D241="",0,IFERROR(INDEX(Suppliers!$R$7:$R$106,MATCH(D241,Suppliers!$B$7:$B$106,0)),0))</f>
        <v>0</v>
      </c>
      <c r="S241" s="9" t="str">
        <f aca="false">IF(N(K241)&gt;0,IF(H241="",99999,MIN(H241,IF(ISNUMBER(M241),M241,H241)))+ROW()/100000,"")</f>
        <v/>
      </c>
      <c r="U241" s="9" t="n">
        <f aca="false">IF(N(K241)&gt;0,N(L241),0)</f>
        <v>0</v>
      </c>
      <c r="V241" s="9" t="n">
        <f aca="false">IF(AND(N(K241)&gt;0,ISNUMBER(M241)),M241-Setup!$C$11,99999)</f>
        <v>99999</v>
      </c>
    </row>
    <row r="242" customFormat="false" ht="15" hidden="false" customHeight="false" outlineLevel="0" collapsed="false">
      <c r="A242" s="40" t="str">
        <f aca="false">IF(D242="","",ROW()-7)</f>
        <v/>
      </c>
      <c r="B242" s="79"/>
      <c r="C242" s="75"/>
      <c r="D242" s="76"/>
      <c r="E242" s="80"/>
      <c r="F242" s="79"/>
      <c r="G242" s="76"/>
      <c r="H242" s="54" t="str">
        <f aca="false">IF(OR(D242="",B242=""),"",IF(F242&lt;&gt;"",F242,B242+IFERROR(INDEX(Suppliers!$Q$7:$Q$106,MATCH(D242,Suppliers!$B$7:$B$106,0)),Setup!$C$7)))</f>
        <v/>
      </c>
      <c r="I242" s="46" t="str">
        <f aca="false">IF(OR(D242="",C242=""),IF(D242="","",0),SUMIFS(Payments!$D$8:$D$507,Payments!$C$8:$C$507,D242,Payments!$F$8:$F$507,C242))</f>
        <v/>
      </c>
      <c r="J242" s="46" t="str">
        <f aca="false">IF(D242="","",MIN(P242,MAX(0,R242-Q242)))</f>
        <v/>
      </c>
      <c r="K242" s="47" t="str">
        <f aca="false">IF(D242="","",P242-J242)</f>
        <v/>
      </c>
      <c r="L242" s="55" t="str">
        <f aca="false">IF(OR(D242="",N(K242)&lt;=0,H242=""),"",MAX(0,Setup!$C$11-H242))</f>
        <v/>
      </c>
      <c r="M242" s="54" t="str">
        <f aca="false">IF(OR(D242="",B242=""),"",IF(IFERROR(INDEX(Suppliers!$S$7:$S$106,MATCH(D242,Suppliers!$B$7:$B$106,0)),"")="","–",B242+IFERROR(INDEX(Suppliers!$S$7:$S$106,MATCH(D242,Suppliers!$B$7:$B$106,0)),"")))</f>
        <v/>
      </c>
      <c r="N242" s="56" t="str">
        <f aca="false">IF(D242="","",IF(N(K242)&lt;=0,"Paid",IF(AND(ISNUMBER(M242),Setup!$C$11&gt;M242),"⚠ MSME late",IF(N(L242)&gt;0,"Overdue",IF(N(V242)&lt;=Setup!$C$9,"⚠ MSME due soon",IF(K242&lt;E242,"Part paid","Not due"))))))</f>
        <v/>
      </c>
      <c r="O242" s="50" t="str">
        <f aca="false">IF(AND(D242="",B242="",C242="",E242=""),"",IF(D242="","⚠ Pick supplier",IF(ISNA(MATCH(D242,Suppliers!$B$7:$B$106,0)),"⚠ Supplier not in list",IF(B242="","⚠ Enter bill date",IF(N(E242)&lt;=0,"⚠ Enter amount",IF(AND(C242&lt;&gt;"",COUNTIFS($D$8:$D$507,D242,$C$8:$C$507,C242)&gt;1),"⚠ Bill no. used twice",IF(N(I242)&gt;N(E242),"⚠ Paid more than bill","✔")))))))</f>
        <v/>
      </c>
      <c r="P242" s="9" t="n">
        <f aca="false">IF(D242="",0,MAX(0,N(E242)-N(I242)))</f>
        <v>0</v>
      </c>
      <c r="Q242" s="9" t="n">
        <f aca="false">IF(D242="",0,SUMIFS($P$8:$P$507,$D$8:$D$507,D242,$B$8:$B$507,"&lt;"&amp;B242)+SUMIFS($P$8:P241,$D$8:D241,D242,$B$8:B241,B242))</f>
        <v>0</v>
      </c>
      <c r="R242" s="9" t="n">
        <f aca="false">IF(D242="",0,IFERROR(INDEX(Suppliers!$R$7:$R$106,MATCH(D242,Suppliers!$B$7:$B$106,0)),0))</f>
        <v>0</v>
      </c>
      <c r="S242" s="9" t="str">
        <f aca="false">IF(N(K242)&gt;0,IF(H242="",99999,MIN(H242,IF(ISNUMBER(M242),M242,H242)))+ROW()/100000,"")</f>
        <v/>
      </c>
      <c r="U242" s="9" t="n">
        <f aca="false">IF(N(K242)&gt;0,N(L242),0)</f>
        <v>0</v>
      </c>
      <c r="V242" s="9" t="n">
        <f aca="false">IF(AND(N(K242)&gt;0,ISNUMBER(M242)),M242-Setup!$C$11,99999)</f>
        <v>99999</v>
      </c>
    </row>
    <row r="243" customFormat="false" ht="15" hidden="false" customHeight="false" outlineLevel="0" collapsed="false">
      <c r="A243" s="40" t="str">
        <f aca="false">IF(D243="","",ROW()-7)</f>
        <v/>
      </c>
      <c r="B243" s="79"/>
      <c r="C243" s="75"/>
      <c r="D243" s="76"/>
      <c r="E243" s="80"/>
      <c r="F243" s="79"/>
      <c r="G243" s="76"/>
      <c r="H243" s="54" t="str">
        <f aca="false">IF(OR(D243="",B243=""),"",IF(F243&lt;&gt;"",F243,B243+IFERROR(INDEX(Suppliers!$Q$7:$Q$106,MATCH(D243,Suppliers!$B$7:$B$106,0)),Setup!$C$7)))</f>
        <v/>
      </c>
      <c r="I243" s="46" t="str">
        <f aca="false">IF(OR(D243="",C243=""),IF(D243="","",0),SUMIFS(Payments!$D$8:$D$507,Payments!$C$8:$C$507,D243,Payments!$F$8:$F$507,C243))</f>
        <v/>
      </c>
      <c r="J243" s="46" t="str">
        <f aca="false">IF(D243="","",MIN(P243,MAX(0,R243-Q243)))</f>
        <v/>
      </c>
      <c r="K243" s="47" t="str">
        <f aca="false">IF(D243="","",P243-J243)</f>
        <v/>
      </c>
      <c r="L243" s="55" t="str">
        <f aca="false">IF(OR(D243="",N(K243)&lt;=0,H243=""),"",MAX(0,Setup!$C$11-H243))</f>
        <v/>
      </c>
      <c r="M243" s="54" t="str">
        <f aca="false">IF(OR(D243="",B243=""),"",IF(IFERROR(INDEX(Suppliers!$S$7:$S$106,MATCH(D243,Suppliers!$B$7:$B$106,0)),"")="","–",B243+IFERROR(INDEX(Suppliers!$S$7:$S$106,MATCH(D243,Suppliers!$B$7:$B$106,0)),"")))</f>
        <v/>
      </c>
      <c r="N243" s="56" t="str">
        <f aca="false">IF(D243="","",IF(N(K243)&lt;=0,"Paid",IF(AND(ISNUMBER(M243),Setup!$C$11&gt;M243),"⚠ MSME late",IF(N(L243)&gt;0,"Overdue",IF(N(V243)&lt;=Setup!$C$9,"⚠ MSME due soon",IF(K243&lt;E243,"Part paid","Not due"))))))</f>
        <v/>
      </c>
      <c r="O243" s="50" t="str">
        <f aca="false">IF(AND(D243="",B243="",C243="",E243=""),"",IF(D243="","⚠ Pick supplier",IF(ISNA(MATCH(D243,Suppliers!$B$7:$B$106,0)),"⚠ Supplier not in list",IF(B243="","⚠ Enter bill date",IF(N(E243)&lt;=0,"⚠ Enter amount",IF(AND(C243&lt;&gt;"",COUNTIFS($D$8:$D$507,D243,$C$8:$C$507,C243)&gt;1),"⚠ Bill no. used twice",IF(N(I243)&gt;N(E243),"⚠ Paid more than bill","✔")))))))</f>
        <v/>
      </c>
      <c r="P243" s="9" t="n">
        <f aca="false">IF(D243="",0,MAX(0,N(E243)-N(I243)))</f>
        <v>0</v>
      </c>
      <c r="Q243" s="9" t="n">
        <f aca="false">IF(D243="",0,SUMIFS($P$8:$P$507,$D$8:$D$507,D243,$B$8:$B$507,"&lt;"&amp;B243)+SUMIFS($P$8:P242,$D$8:D242,D243,$B$8:B242,B243))</f>
        <v>0</v>
      </c>
      <c r="R243" s="9" t="n">
        <f aca="false">IF(D243="",0,IFERROR(INDEX(Suppliers!$R$7:$R$106,MATCH(D243,Suppliers!$B$7:$B$106,0)),0))</f>
        <v>0</v>
      </c>
      <c r="S243" s="9" t="str">
        <f aca="false">IF(N(K243)&gt;0,IF(H243="",99999,MIN(H243,IF(ISNUMBER(M243),M243,H243)))+ROW()/100000,"")</f>
        <v/>
      </c>
      <c r="U243" s="9" t="n">
        <f aca="false">IF(N(K243)&gt;0,N(L243),0)</f>
        <v>0</v>
      </c>
      <c r="V243" s="9" t="n">
        <f aca="false">IF(AND(N(K243)&gt;0,ISNUMBER(M243)),M243-Setup!$C$11,99999)</f>
        <v>99999</v>
      </c>
    </row>
    <row r="244" customFormat="false" ht="15" hidden="false" customHeight="false" outlineLevel="0" collapsed="false">
      <c r="A244" s="40" t="str">
        <f aca="false">IF(D244="","",ROW()-7)</f>
        <v/>
      </c>
      <c r="B244" s="79"/>
      <c r="C244" s="75"/>
      <c r="D244" s="76"/>
      <c r="E244" s="80"/>
      <c r="F244" s="79"/>
      <c r="G244" s="76"/>
      <c r="H244" s="54" t="str">
        <f aca="false">IF(OR(D244="",B244=""),"",IF(F244&lt;&gt;"",F244,B244+IFERROR(INDEX(Suppliers!$Q$7:$Q$106,MATCH(D244,Suppliers!$B$7:$B$106,0)),Setup!$C$7)))</f>
        <v/>
      </c>
      <c r="I244" s="46" t="str">
        <f aca="false">IF(OR(D244="",C244=""),IF(D244="","",0),SUMIFS(Payments!$D$8:$D$507,Payments!$C$8:$C$507,D244,Payments!$F$8:$F$507,C244))</f>
        <v/>
      </c>
      <c r="J244" s="46" t="str">
        <f aca="false">IF(D244="","",MIN(P244,MAX(0,R244-Q244)))</f>
        <v/>
      </c>
      <c r="K244" s="47" t="str">
        <f aca="false">IF(D244="","",P244-J244)</f>
        <v/>
      </c>
      <c r="L244" s="55" t="str">
        <f aca="false">IF(OR(D244="",N(K244)&lt;=0,H244=""),"",MAX(0,Setup!$C$11-H244))</f>
        <v/>
      </c>
      <c r="M244" s="54" t="str">
        <f aca="false">IF(OR(D244="",B244=""),"",IF(IFERROR(INDEX(Suppliers!$S$7:$S$106,MATCH(D244,Suppliers!$B$7:$B$106,0)),"")="","–",B244+IFERROR(INDEX(Suppliers!$S$7:$S$106,MATCH(D244,Suppliers!$B$7:$B$106,0)),"")))</f>
        <v/>
      </c>
      <c r="N244" s="56" t="str">
        <f aca="false">IF(D244="","",IF(N(K244)&lt;=0,"Paid",IF(AND(ISNUMBER(M244),Setup!$C$11&gt;M244),"⚠ MSME late",IF(N(L244)&gt;0,"Overdue",IF(N(V244)&lt;=Setup!$C$9,"⚠ MSME due soon",IF(K244&lt;E244,"Part paid","Not due"))))))</f>
        <v/>
      </c>
      <c r="O244" s="50" t="str">
        <f aca="false">IF(AND(D244="",B244="",C244="",E244=""),"",IF(D244="","⚠ Pick supplier",IF(ISNA(MATCH(D244,Suppliers!$B$7:$B$106,0)),"⚠ Supplier not in list",IF(B244="","⚠ Enter bill date",IF(N(E244)&lt;=0,"⚠ Enter amount",IF(AND(C244&lt;&gt;"",COUNTIFS($D$8:$D$507,D244,$C$8:$C$507,C244)&gt;1),"⚠ Bill no. used twice",IF(N(I244)&gt;N(E244),"⚠ Paid more than bill","✔")))))))</f>
        <v/>
      </c>
      <c r="P244" s="9" t="n">
        <f aca="false">IF(D244="",0,MAX(0,N(E244)-N(I244)))</f>
        <v>0</v>
      </c>
      <c r="Q244" s="9" t="n">
        <f aca="false">IF(D244="",0,SUMIFS($P$8:$P$507,$D$8:$D$507,D244,$B$8:$B$507,"&lt;"&amp;B244)+SUMIFS($P$8:P243,$D$8:D243,D244,$B$8:B243,B244))</f>
        <v>0</v>
      </c>
      <c r="R244" s="9" t="n">
        <f aca="false">IF(D244="",0,IFERROR(INDEX(Suppliers!$R$7:$R$106,MATCH(D244,Suppliers!$B$7:$B$106,0)),0))</f>
        <v>0</v>
      </c>
      <c r="S244" s="9" t="str">
        <f aca="false">IF(N(K244)&gt;0,IF(H244="",99999,MIN(H244,IF(ISNUMBER(M244),M244,H244)))+ROW()/100000,"")</f>
        <v/>
      </c>
      <c r="U244" s="9" t="n">
        <f aca="false">IF(N(K244)&gt;0,N(L244),0)</f>
        <v>0</v>
      </c>
      <c r="V244" s="9" t="n">
        <f aca="false">IF(AND(N(K244)&gt;0,ISNUMBER(M244)),M244-Setup!$C$11,99999)</f>
        <v>99999</v>
      </c>
    </row>
    <row r="245" customFormat="false" ht="15" hidden="false" customHeight="false" outlineLevel="0" collapsed="false">
      <c r="A245" s="40" t="str">
        <f aca="false">IF(D245="","",ROW()-7)</f>
        <v/>
      </c>
      <c r="B245" s="79"/>
      <c r="C245" s="75"/>
      <c r="D245" s="76"/>
      <c r="E245" s="80"/>
      <c r="F245" s="79"/>
      <c r="G245" s="76"/>
      <c r="H245" s="54" t="str">
        <f aca="false">IF(OR(D245="",B245=""),"",IF(F245&lt;&gt;"",F245,B245+IFERROR(INDEX(Suppliers!$Q$7:$Q$106,MATCH(D245,Suppliers!$B$7:$B$106,0)),Setup!$C$7)))</f>
        <v/>
      </c>
      <c r="I245" s="46" t="str">
        <f aca="false">IF(OR(D245="",C245=""),IF(D245="","",0),SUMIFS(Payments!$D$8:$D$507,Payments!$C$8:$C$507,D245,Payments!$F$8:$F$507,C245))</f>
        <v/>
      </c>
      <c r="J245" s="46" t="str">
        <f aca="false">IF(D245="","",MIN(P245,MAX(0,R245-Q245)))</f>
        <v/>
      </c>
      <c r="K245" s="47" t="str">
        <f aca="false">IF(D245="","",P245-J245)</f>
        <v/>
      </c>
      <c r="L245" s="55" t="str">
        <f aca="false">IF(OR(D245="",N(K245)&lt;=0,H245=""),"",MAX(0,Setup!$C$11-H245))</f>
        <v/>
      </c>
      <c r="M245" s="54" t="str">
        <f aca="false">IF(OR(D245="",B245=""),"",IF(IFERROR(INDEX(Suppliers!$S$7:$S$106,MATCH(D245,Suppliers!$B$7:$B$106,0)),"")="","–",B245+IFERROR(INDEX(Suppliers!$S$7:$S$106,MATCH(D245,Suppliers!$B$7:$B$106,0)),"")))</f>
        <v/>
      </c>
      <c r="N245" s="56" t="str">
        <f aca="false">IF(D245="","",IF(N(K245)&lt;=0,"Paid",IF(AND(ISNUMBER(M245),Setup!$C$11&gt;M245),"⚠ MSME late",IF(N(L245)&gt;0,"Overdue",IF(N(V245)&lt;=Setup!$C$9,"⚠ MSME due soon",IF(K245&lt;E245,"Part paid","Not due"))))))</f>
        <v/>
      </c>
      <c r="O245" s="50" t="str">
        <f aca="false">IF(AND(D245="",B245="",C245="",E245=""),"",IF(D245="","⚠ Pick supplier",IF(ISNA(MATCH(D245,Suppliers!$B$7:$B$106,0)),"⚠ Supplier not in list",IF(B245="","⚠ Enter bill date",IF(N(E245)&lt;=0,"⚠ Enter amount",IF(AND(C245&lt;&gt;"",COUNTIFS($D$8:$D$507,D245,$C$8:$C$507,C245)&gt;1),"⚠ Bill no. used twice",IF(N(I245)&gt;N(E245),"⚠ Paid more than bill","✔")))))))</f>
        <v/>
      </c>
      <c r="P245" s="9" t="n">
        <f aca="false">IF(D245="",0,MAX(0,N(E245)-N(I245)))</f>
        <v>0</v>
      </c>
      <c r="Q245" s="9" t="n">
        <f aca="false">IF(D245="",0,SUMIFS($P$8:$P$507,$D$8:$D$507,D245,$B$8:$B$507,"&lt;"&amp;B245)+SUMIFS($P$8:P244,$D$8:D244,D245,$B$8:B244,B245))</f>
        <v>0</v>
      </c>
      <c r="R245" s="9" t="n">
        <f aca="false">IF(D245="",0,IFERROR(INDEX(Suppliers!$R$7:$R$106,MATCH(D245,Suppliers!$B$7:$B$106,0)),0))</f>
        <v>0</v>
      </c>
      <c r="S245" s="9" t="str">
        <f aca="false">IF(N(K245)&gt;0,IF(H245="",99999,MIN(H245,IF(ISNUMBER(M245),M245,H245)))+ROW()/100000,"")</f>
        <v/>
      </c>
      <c r="U245" s="9" t="n">
        <f aca="false">IF(N(K245)&gt;0,N(L245),0)</f>
        <v>0</v>
      </c>
      <c r="V245" s="9" t="n">
        <f aca="false">IF(AND(N(K245)&gt;0,ISNUMBER(M245)),M245-Setup!$C$11,99999)</f>
        <v>99999</v>
      </c>
    </row>
    <row r="246" customFormat="false" ht="15" hidden="false" customHeight="false" outlineLevel="0" collapsed="false">
      <c r="A246" s="40" t="str">
        <f aca="false">IF(D246="","",ROW()-7)</f>
        <v/>
      </c>
      <c r="B246" s="79"/>
      <c r="C246" s="75"/>
      <c r="D246" s="76"/>
      <c r="E246" s="80"/>
      <c r="F246" s="79"/>
      <c r="G246" s="76"/>
      <c r="H246" s="54" t="str">
        <f aca="false">IF(OR(D246="",B246=""),"",IF(F246&lt;&gt;"",F246,B246+IFERROR(INDEX(Suppliers!$Q$7:$Q$106,MATCH(D246,Suppliers!$B$7:$B$106,0)),Setup!$C$7)))</f>
        <v/>
      </c>
      <c r="I246" s="46" t="str">
        <f aca="false">IF(OR(D246="",C246=""),IF(D246="","",0),SUMIFS(Payments!$D$8:$D$507,Payments!$C$8:$C$507,D246,Payments!$F$8:$F$507,C246))</f>
        <v/>
      </c>
      <c r="J246" s="46" t="str">
        <f aca="false">IF(D246="","",MIN(P246,MAX(0,R246-Q246)))</f>
        <v/>
      </c>
      <c r="K246" s="47" t="str">
        <f aca="false">IF(D246="","",P246-J246)</f>
        <v/>
      </c>
      <c r="L246" s="55" t="str">
        <f aca="false">IF(OR(D246="",N(K246)&lt;=0,H246=""),"",MAX(0,Setup!$C$11-H246))</f>
        <v/>
      </c>
      <c r="M246" s="54" t="str">
        <f aca="false">IF(OR(D246="",B246=""),"",IF(IFERROR(INDEX(Suppliers!$S$7:$S$106,MATCH(D246,Suppliers!$B$7:$B$106,0)),"")="","–",B246+IFERROR(INDEX(Suppliers!$S$7:$S$106,MATCH(D246,Suppliers!$B$7:$B$106,0)),"")))</f>
        <v/>
      </c>
      <c r="N246" s="56" t="str">
        <f aca="false">IF(D246="","",IF(N(K246)&lt;=0,"Paid",IF(AND(ISNUMBER(M246),Setup!$C$11&gt;M246),"⚠ MSME late",IF(N(L246)&gt;0,"Overdue",IF(N(V246)&lt;=Setup!$C$9,"⚠ MSME due soon",IF(K246&lt;E246,"Part paid","Not due"))))))</f>
        <v/>
      </c>
      <c r="O246" s="50" t="str">
        <f aca="false">IF(AND(D246="",B246="",C246="",E246=""),"",IF(D246="","⚠ Pick supplier",IF(ISNA(MATCH(D246,Suppliers!$B$7:$B$106,0)),"⚠ Supplier not in list",IF(B246="","⚠ Enter bill date",IF(N(E246)&lt;=0,"⚠ Enter amount",IF(AND(C246&lt;&gt;"",COUNTIFS($D$8:$D$507,D246,$C$8:$C$507,C246)&gt;1),"⚠ Bill no. used twice",IF(N(I246)&gt;N(E246),"⚠ Paid more than bill","✔")))))))</f>
        <v/>
      </c>
      <c r="P246" s="9" t="n">
        <f aca="false">IF(D246="",0,MAX(0,N(E246)-N(I246)))</f>
        <v>0</v>
      </c>
      <c r="Q246" s="9" t="n">
        <f aca="false">IF(D246="",0,SUMIFS($P$8:$P$507,$D$8:$D$507,D246,$B$8:$B$507,"&lt;"&amp;B246)+SUMIFS($P$8:P245,$D$8:D245,D246,$B$8:B245,B246))</f>
        <v>0</v>
      </c>
      <c r="R246" s="9" t="n">
        <f aca="false">IF(D246="",0,IFERROR(INDEX(Suppliers!$R$7:$R$106,MATCH(D246,Suppliers!$B$7:$B$106,0)),0))</f>
        <v>0</v>
      </c>
      <c r="S246" s="9" t="str">
        <f aca="false">IF(N(K246)&gt;0,IF(H246="",99999,MIN(H246,IF(ISNUMBER(M246),M246,H246)))+ROW()/100000,"")</f>
        <v/>
      </c>
      <c r="U246" s="9" t="n">
        <f aca="false">IF(N(K246)&gt;0,N(L246),0)</f>
        <v>0</v>
      </c>
      <c r="V246" s="9" t="n">
        <f aca="false">IF(AND(N(K246)&gt;0,ISNUMBER(M246)),M246-Setup!$C$11,99999)</f>
        <v>99999</v>
      </c>
    </row>
    <row r="247" customFormat="false" ht="15" hidden="false" customHeight="false" outlineLevel="0" collapsed="false">
      <c r="A247" s="40" t="str">
        <f aca="false">IF(D247="","",ROW()-7)</f>
        <v/>
      </c>
      <c r="B247" s="79"/>
      <c r="C247" s="75"/>
      <c r="D247" s="76"/>
      <c r="E247" s="80"/>
      <c r="F247" s="79"/>
      <c r="G247" s="76"/>
      <c r="H247" s="54" t="str">
        <f aca="false">IF(OR(D247="",B247=""),"",IF(F247&lt;&gt;"",F247,B247+IFERROR(INDEX(Suppliers!$Q$7:$Q$106,MATCH(D247,Suppliers!$B$7:$B$106,0)),Setup!$C$7)))</f>
        <v/>
      </c>
      <c r="I247" s="46" t="str">
        <f aca="false">IF(OR(D247="",C247=""),IF(D247="","",0),SUMIFS(Payments!$D$8:$D$507,Payments!$C$8:$C$507,D247,Payments!$F$8:$F$507,C247))</f>
        <v/>
      </c>
      <c r="J247" s="46" t="str">
        <f aca="false">IF(D247="","",MIN(P247,MAX(0,R247-Q247)))</f>
        <v/>
      </c>
      <c r="K247" s="47" t="str">
        <f aca="false">IF(D247="","",P247-J247)</f>
        <v/>
      </c>
      <c r="L247" s="55" t="str">
        <f aca="false">IF(OR(D247="",N(K247)&lt;=0,H247=""),"",MAX(0,Setup!$C$11-H247))</f>
        <v/>
      </c>
      <c r="M247" s="54" t="str">
        <f aca="false">IF(OR(D247="",B247=""),"",IF(IFERROR(INDEX(Suppliers!$S$7:$S$106,MATCH(D247,Suppliers!$B$7:$B$106,0)),"")="","–",B247+IFERROR(INDEX(Suppliers!$S$7:$S$106,MATCH(D247,Suppliers!$B$7:$B$106,0)),"")))</f>
        <v/>
      </c>
      <c r="N247" s="56" t="str">
        <f aca="false">IF(D247="","",IF(N(K247)&lt;=0,"Paid",IF(AND(ISNUMBER(M247),Setup!$C$11&gt;M247),"⚠ MSME late",IF(N(L247)&gt;0,"Overdue",IF(N(V247)&lt;=Setup!$C$9,"⚠ MSME due soon",IF(K247&lt;E247,"Part paid","Not due"))))))</f>
        <v/>
      </c>
      <c r="O247" s="50" t="str">
        <f aca="false">IF(AND(D247="",B247="",C247="",E247=""),"",IF(D247="","⚠ Pick supplier",IF(ISNA(MATCH(D247,Suppliers!$B$7:$B$106,0)),"⚠ Supplier not in list",IF(B247="","⚠ Enter bill date",IF(N(E247)&lt;=0,"⚠ Enter amount",IF(AND(C247&lt;&gt;"",COUNTIFS($D$8:$D$507,D247,$C$8:$C$507,C247)&gt;1),"⚠ Bill no. used twice",IF(N(I247)&gt;N(E247),"⚠ Paid more than bill","✔")))))))</f>
        <v/>
      </c>
      <c r="P247" s="9" t="n">
        <f aca="false">IF(D247="",0,MAX(0,N(E247)-N(I247)))</f>
        <v>0</v>
      </c>
      <c r="Q247" s="9" t="n">
        <f aca="false">IF(D247="",0,SUMIFS($P$8:$P$507,$D$8:$D$507,D247,$B$8:$B$507,"&lt;"&amp;B247)+SUMIFS($P$8:P246,$D$8:D246,D247,$B$8:B246,B247))</f>
        <v>0</v>
      </c>
      <c r="R247" s="9" t="n">
        <f aca="false">IF(D247="",0,IFERROR(INDEX(Suppliers!$R$7:$R$106,MATCH(D247,Suppliers!$B$7:$B$106,0)),0))</f>
        <v>0</v>
      </c>
      <c r="S247" s="9" t="str">
        <f aca="false">IF(N(K247)&gt;0,IF(H247="",99999,MIN(H247,IF(ISNUMBER(M247),M247,H247)))+ROW()/100000,"")</f>
        <v/>
      </c>
      <c r="U247" s="9" t="n">
        <f aca="false">IF(N(K247)&gt;0,N(L247),0)</f>
        <v>0</v>
      </c>
      <c r="V247" s="9" t="n">
        <f aca="false">IF(AND(N(K247)&gt;0,ISNUMBER(M247)),M247-Setup!$C$11,99999)</f>
        <v>99999</v>
      </c>
    </row>
    <row r="248" customFormat="false" ht="15" hidden="false" customHeight="false" outlineLevel="0" collapsed="false">
      <c r="A248" s="40" t="str">
        <f aca="false">IF(D248="","",ROW()-7)</f>
        <v/>
      </c>
      <c r="B248" s="79"/>
      <c r="C248" s="75"/>
      <c r="D248" s="76"/>
      <c r="E248" s="80"/>
      <c r="F248" s="79"/>
      <c r="G248" s="76"/>
      <c r="H248" s="54" t="str">
        <f aca="false">IF(OR(D248="",B248=""),"",IF(F248&lt;&gt;"",F248,B248+IFERROR(INDEX(Suppliers!$Q$7:$Q$106,MATCH(D248,Suppliers!$B$7:$B$106,0)),Setup!$C$7)))</f>
        <v/>
      </c>
      <c r="I248" s="46" t="str">
        <f aca="false">IF(OR(D248="",C248=""),IF(D248="","",0),SUMIFS(Payments!$D$8:$D$507,Payments!$C$8:$C$507,D248,Payments!$F$8:$F$507,C248))</f>
        <v/>
      </c>
      <c r="J248" s="46" t="str">
        <f aca="false">IF(D248="","",MIN(P248,MAX(0,R248-Q248)))</f>
        <v/>
      </c>
      <c r="K248" s="47" t="str">
        <f aca="false">IF(D248="","",P248-J248)</f>
        <v/>
      </c>
      <c r="L248" s="55" t="str">
        <f aca="false">IF(OR(D248="",N(K248)&lt;=0,H248=""),"",MAX(0,Setup!$C$11-H248))</f>
        <v/>
      </c>
      <c r="M248" s="54" t="str">
        <f aca="false">IF(OR(D248="",B248=""),"",IF(IFERROR(INDEX(Suppliers!$S$7:$S$106,MATCH(D248,Suppliers!$B$7:$B$106,0)),"")="","–",B248+IFERROR(INDEX(Suppliers!$S$7:$S$106,MATCH(D248,Suppliers!$B$7:$B$106,0)),"")))</f>
        <v/>
      </c>
      <c r="N248" s="56" t="str">
        <f aca="false">IF(D248="","",IF(N(K248)&lt;=0,"Paid",IF(AND(ISNUMBER(M248),Setup!$C$11&gt;M248),"⚠ MSME late",IF(N(L248)&gt;0,"Overdue",IF(N(V248)&lt;=Setup!$C$9,"⚠ MSME due soon",IF(K248&lt;E248,"Part paid","Not due"))))))</f>
        <v/>
      </c>
      <c r="O248" s="50" t="str">
        <f aca="false">IF(AND(D248="",B248="",C248="",E248=""),"",IF(D248="","⚠ Pick supplier",IF(ISNA(MATCH(D248,Suppliers!$B$7:$B$106,0)),"⚠ Supplier not in list",IF(B248="","⚠ Enter bill date",IF(N(E248)&lt;=0,"⚠ Enter amount",IF(AND(C248&lt;&gt;"",COUNTIFS($D$8:$D$507,D248,$C$8:$C$507,C248)&gt;1),"⚠ Bill no. used twice",IF(N(I248)&gt;N(E248),"⚠ Paid more than bill","✔")))))))</f>
        <v/>
      </c>
      <c r="P248" s="9" t="n">
        <f aca="false">IF(D248="",0,MAX(0,N(E248)-N(I248)))</f>
        <v>0</v>
      </c>
      <c r="Q248" s="9" t="n">
        <f aca="false">IF(D248="",0,SUMIFS($P$8:$P$507,$D$8:$D$507,D248,$B$8:$B$507,"&lt;"&amp;B248)+SUMIFS($P$8:P247,$D$8:D247,D248,$B$8:B247,B248))</f>
        <v>0</v>
      </c>
      <c r="R248" s="9" t="n">
        <f aca="false">IF(D248="",0,IFERROR(INDEX(Suppliers!$R$7:$R$106,MATCH(D248,Suppliers!$B$7:$B$106,0)),0))</f>
        <v>0</v>
      </c>
      <c r="S248" s="9" t="str">
        <f aca="false">IF(N(K248)&gt;0,IF(H248="",99999,MIN(H248,IF(ISNUMBER(M248),M248,H248)))+ROW()/100000,"")</f>
        <v/>
      </c>
      <c r="U248" s="9" t="n">
        <f aca="false">IF(N(K248)&gt;0,N(L248),0)</f>
        <v>0</v>
      </c>
      <c r="V248" s="9" t="n">
        <f aca="false">IF(AND(N(K248)&gt;0,ISNUMBER(M248)),M248-Setup!$C$11,99999)</f>
        <v>99999</v>
      </c>
    </row>
    <row r="249" customFormat="false" ht="15" hidden="false" customHeight="false" outlineLevel="0" collapsed="false">
      <c r="A249" s="40" t="str">
        <f aca="false">IF(D249="","",ROW()-7)</f>
        <v/>
      </c>
      <c r="B249" s="79"/>
      <c r="C249" s="75"/>
      <c r="D249" s="76"/>
      <c r="E249" s="80"/>
      <c r="F249" s="79"/>
      <c r="G249" s="76"/>
      <c r="H249" s="54" t="str">
        <f aca="false">IF(OR(D249="",B249=""),"",IF(F249&lt;&gt;"",F249,B249+IFERROR(INDEX(Suppliers!$Q$7:$Q$106,MATCH(D249,Suppliers!$B$7:$B$106,0)),Setup!$C$7)))</f>
        <v/>
      </c>
      <c r="I249" s="46" t="str">
        <f aca="false">IF(OR(D249="",C249=""),IF(D249="","",0),SUMIFS(Payments!$D$8:$D$507,Payments!$C$8:$C$507,D249,Payments!$F$8:$F$507,C249))</f>
        <v/>
      </c>
      <c r="J249" s="46" t="str">
        <f aca="false">IF(D249="","",MIN(P249,MAX(0,R249-Q249)))</f>
        <v/>
      </c>
      <c r="K249" s="47" t="str">
        <f aca="false">IF(D249="","",P249-J249)</f>
        <v/>
      </c>
      <c r="L249" s="55" t="str">
        <f aca="false">IF(OR(D249="",N(K249)&lt;=0,H249=""),"",MAX(0,Setup!$C$11-H249))</f>
        <v/>
      </c>
      <c r="M249" s="54" t="str">
        <f aca="false">IF(OR(D249="",B249=""),"",IF(IFERROR(INDEX(Suppliers!$S$7:$S$106,MATCH(D249,Suppliers!$B$7:$B$106,0)),"")="","–",B249+IFERROR(INDEX(Suppliers!$S$7:$S$106,MATCH(D249,Suppliers!$B$7:$B$106,0)),"")))</f>
        <v/>
      </c>
      <c r="N249" s="56" t="str">
        <f aca="false">IF(D249="","",IF(N(K249)&lt;=0,"Paid",IF(AND(ISNUMBER(M249),Setup!$C$11&gt;M249),"⚠ MSME late",IF(N(L249)&gt;0,"Overdue",IF(N(V249)&lt;=Setup!$C$9,"⚠ MSME due soon",IF(K249&lt;E249,"Part paid","Not due"))))))</f>
        <v/>
      </c>
      <c r="O249" s="50" t="str">
        <f aca="false">IF(AND(D249="",B249="",C249="",E249=""),"",IF(D249="","⚠ Pick supplier",IF(ISNA(MATCH(D249,Suppliers!$B$7:$B$106,0)),"⚠ Supplier not in list",IF(B249="","⚠ Enter bill date",IF(N(E249)&lt;=0,"⚠ Enter amount",IF(AND(C249&lt;&gt;"",COUNTIFS($D$8:$D$507,D249,$C$8:$C$507,C249)&gt;1),"⚠ Bill no. used twice",IF(N(I249)&gt;N(E249),"⚠ Paid more than bill","✔")))))))</f>
        <v/>
      </c>
      <c r="P249" s="9" t="n">
        <f aca="false">IF(D249="",0,MAX(0,N(E249)-N(I249)))</f>
        <v>0</v>
      </c>
      <c r="Q249" s="9" t="n">
        <f aca="false">IF(D249="",0,SUMIFS($P$8:$P$507,$D$8:$D$507,D249,$B$8:$B$507,"&lt;"&amp;B249)+SUMIFS($P$8:P248,$D$8:D248,D249,$B$8:B248,B249))</f>
        <v>0</v>
      </c>
      <c r="R249" s="9" t="n">
        <f aca="false">IF(D249="",0,IFERROR(INDEX(Suppliers!$R$7:$R$106,MATCH(D249,Suppliers!$B$7:$B$106,0)),0))</f>
        <v>0</v>
      </c>
      <c r="S249" s="9" t="str">
        <f aca="false">IF(N(K249)&gt;0,IF(H249="",99999,MIN(H249,IF(ISNUMBER(M249),M249,H249)))+ROW()/100000,"")</f>
        <v/>
      </c>
      <c r="U249" s="9" t="n">
        <f aca="false">IF(N(K249)&gt;0,N(L249),0)</f>
        <v>0</v>
      </c>
      <c r="V249" s="9" t="n">
        <f aca="false">IF(AND(N(K249)&gt;0,ISNUMBER(M249)),M249-Setup!$C$11,99999)</f>
        <v>99999</v>
      </c>
    </row>
    <row r="250" customFormat="false" ht="15" hidden="false" customHeight="false" outlineLevel="0" collapsed="false">
      <c r="A250" s="40" t="str">
        <f aca="false">IF(D250="","",ROW()-7)</f>
        <v/>
      </c>
      <c r="B250" s="79"/>
      <c r="C250" s="75"/>
      <c r="D250" s="76"/>
      <c r="E250" s="80"/>
      <c r="F250" s="79"/>
      <c r="G250" s="76"/>
      <c r="H250" s="54" t="str">
        <f aca="false">IF(OR(D250="",B250=""),"",IF(F250&lt;&gt;"",F250,B250+IFERROR(INDEX(Suppliers!$Q$7:$Q$106,MATCH(D250,Suppliers!$B$7:$B$106,0)),Setup!$C$7)))</f>
        <v/>
      </c>
      <c r="I250" s="46" t="str">
        <f aca="false">IF(OR(D250="",C250=""),IF(D250="","",0),SUMIFS(Payments!$D$8:$D$507,Payments!$C$8:$C$507,D250,Payments!$F$8:$F$507,C250))</f>
        <v/>
      </c>
      <c r="J250" s="46" t="str">
        <f aca="false">IF(D250="","",MIN(P250,MAX(0,R250-Q250)))</f>
        <v/>
      </c>
      <c r="K250" s="47" t="str">
        <f aca="false">IF(D250="","",P250-J250)</f>
        <v/>
      </c>
      <c r="L250" s="55" t="str">
        <f aca="false">IF(OR(D250="",N(K250)&lt;=0,H250=""),"",MAX(0,Setup!$C$11-H250))</f>
        <v/>
      </c>
      <c r="M250" s="54" t="str">
        <f aca="false">IF(OR(D250="",B250=""),"",IF(IFERROR(INDEX(Suppliers!$S$7:$S$106,MATCH(D250,Suppliers!$B$7:$B$106,0)),"")="","–",B250+IFERROR(INDEX(Suppliers!$S$7:$S$106,MATCH(D250,Suppliers!$B$7:$B$106,0)),"")))</f>
        <v/>
      </c>
      <c r="N250" s="56" t="str">
        <f aca="false">IF(D250="","",IF(N(K250)&lt;=0,"Paid",IF(AND(ISNUMBER(M250),Setup!$C$11&gt;M250),"⚠ MSME late",IF(N(L250)&gt;0,"Overdue",IF(N(V250)&lt;=Setup!$C$9,"⚠ MSME due soon",IF(K250&lt;E250,"Part paid","Not due"))))))</f>
        <v/>
      </c>
      <c r="O250" s="50" t="str">
        <f aca="false">IF(AND(D250="",B250="",C250="",E250=""),"",IF(D250="","⚠ Pick supplier",IF(ISNA(MATCH(D250,Suppliers!$B$7:$B$106,0)),"⚠ Supplier not in list",IF(B250="","⚠ Enter bill date",IF(N(E250)&lt;=0,"⚠ Enter amount",IF(AND(C250&lt;&gt;"",COUNTIFS($D$8:$D$507,D250,$C$8:$C$507,C250)&gt;1),"⚠ Bill no. used twice",IF(N(I250)&gt;N(E250),"⚠ Paid more than bill","✔")))))))</f>
        <v/>
      </c>
      <c r="P250" s="9" t="n">
        <f aca="false">IF(D250="",0,MAX(0,N(E250)-N(I250)))</f>
        <v>0</v>
      </c>
      <c r="Q250" s="9" t="n">
        <f aca="false">IF(D250="",0,SUMIFS($P$8:$P$507,$D$8:$D$507,D250,$B$8:$B$507,"&lt;"&amp;B250)+SUMIFS($P$8:P249,$D$8:D249,D250,$B$8:B249,B250))</f>
        <v>0</v>
      </c>
      <c r="R250" s="9" t="n">
        <f aca="false">IF(D250="",0,IFERROR(INDEX(Suppliers!$R$7:$R$106,MATCH(D250,Suppliers!$B$7:$B$106,0)),0))</f>
        <v>0</v>
      </c>
      <c r="S250" s="9" t="str">
        <f aca="false">IF(N(K250)&gt;0,IF(H250="",99999,MIN(H250,IF(ISNUMBER(M250),M250,H250)))+ROW()/100000,"")</f>
        <v/>
      </c>
      <c r="U250" s="9" t="n">
        <f aca="false">IF(N(K250)&gt;0,N(L250),0)</f>
        <v>0</v>
      </c>
      <c r="V250" s="9" t="n">
        <f aca="false">IF(AND(N(K250)&gt;0,ISNUMBER(M250)),M250-Setup!$C$11,99999)</f>
        <v>99999</v>
      </c>
    </row>
    <row r="251" customFormat="false" ht="15" hidden="false" customHeight="false" outlineLevel="0" collapsed="false">
      <c r="A251" s="40" t="str">
        <f aca="false">IF(D251="","",ROW()-7)</f>
        <v/>
      </c>
      <c r="B251" s="79"/>
      <c r="C251" s="75"/>
      <c r="D251" s="76"/>
      <c r="E251" s="80"/>
      <c r="F251" s="79"/>
      <c r="G251" s="76"/>
      <c r="H251" s="54" t="str">
        <f aca="false">IF(OR(D251="",B251=""),"",IF(F251&lt;&gt;"",F251,B251+IFERROR(INDEX(Suppliers!$Q$7:$Q$106,MATCH(D251,Suppliers!$B$7:$B$106,0)),Setup!$C$7)))</f>
        <v/>
      </c>
      <c r="I251" s="46" t="str">
        <f aca="false">IF(OR(D251="",C251=""),IF(D251="","",0),SUMIFS(Payments!$D$8:$D$507,Payments!$C$8:$C$507,D251,Payments!$F$8:$F$507,C251))</f>
        <v/>
      </c>
      <c r="J251" s="46" t="str">
        <f aca="false">IF(D251="","",MIN(P251,MAX(0,R251-Q251)))</f>
        <v/>
      </c>
      <c r="K251" s="47" t="str">
        <f aca="false">IF(D251="","",P251-J251)</f>
        <v/>
      </c>
      <c r="L251" s="55" t="str">
        <f aca="false">IF(OR(D251="",N(K251)&lt;=0,H251=""),"",MAX(0,Setup!$C$11-H251))</f>
        <v/>
      </c>
      <c r="M251" s="54" t="str">
        <f aca="false">IF(OR(D251="",B251=""),"",IF(IFERROR(INDEX(Suppliers!$S$7:$S$106,MATCH(D251,Suppliers!$B$7:$B$106,0)),"")="","–",B251+IFERROR(INDEX(Suppliers!$S$7:$S$106,MATCH(D251,Suppliers!$B$7:$B$106,0)),"")))</f>
        <v/>
      </c>
      <c r="N251" s="56" t="str">
        <f aca="false">IF(D251="","",IF(N(K251)&lt;=0,"Paid",IF(AND(ISNUMBER(M251),Setup!$C$11&gt;M251),"⚠ MSME late",IF(N(L251)&gt;0,"Overdue",IF(N(V251)&lt;=Setup!$C$9,"⚠ MSME due soon",IF(K251&lt;E251,"Part paid","Not due"))))))</f>
        <v/>
      </c>
      <c r="O251" s="50" t="str">
        <f aca="false">IF(AND(D251="",B251="",C251="",E251=""),"",IF(D251="","⚠ Pick supplier",IF(ISNA(MATCH(D251,Suppliers!$B$7:$B$106,0)),"⚠ Supplier not in list",IF(B251="","⚠ Enter bill date",IF(N(E251)&lt;=0,"⚠ Enter amount",IF(AND(C251&lt;&gt;"",COUNTIFS($D$8:$D$507,D251,$C$8:$C$507,C251)&gt;1),"⚠ Bill no. used twice",IF(N(I251)&gt;N(E251),"⚠ Paid more than bill","✔")))))))</f>
        <v/>
      </c>
      <c r="P251" s="9" t="n">
        <f aca="false">IF(D251="",0,MAX(0,N(E251)-N(I251)))</f>
        <v>0</v>
      </c>
      <c r="Q251" s="9" t="n">
        <f aca="false">IF(D251="",0,SUMIFS($P$8:$P$507,$D$8:$D$507,D251,$B$8:$B$507,"&lt;"&amp;B251)+SUMIFS($P$8:P250,$D$8:D250,D251,$B$8:B250,B251))</f>
        <v>0</v>
      </c>
      <c r="R251" s="9" t="n">
        <f aca="false">IF(D251="",0,IFERROR(INDEX(Suppliers!$R$7:$R$106,MATCH(D251,Suppliers!$B$7:$B$106,0)),0))</f>
        <v>0</v>
      </c>
      <c r="S251" s="9" t="str">
        <f aca="false">IF(N(K251)&gt;0,IF(H251="",99999,MIN(H251,IF(ISNUMBER(M251),M251,H251)))+ROW()/100000,"")</f>
        <v/>
      </c>
      <c r="U251" s="9" t="n">
        <f aca="false">IF(N(K251)&gt;0,N(L251),0)</f>
        <v>0</v>
      </c>
      <c r="V251" s="9" t="n">
        <f aca="false">IF(AND(N(K251)&gt;0,ISNUMBER(M251)),M251-Setup!$C$11,99999)</f>
        <v>99999</v>
      </c>
    </row>
    <row r="252" customFormat="false" ht="15" hidden="false" customHeight="false" outlineLevel="0" collapsed="false">
      <c r="A252" s="40" t="str">
        <f aca="false">IF(D252="","",ROW()-7)</f>
        <v/>
      </c>
      <c r="B252" s="79"/>
      <c r="C252" s="75"/>
      <c r="D252" s="76"/>
      <c r="E252" s="80"/>
      <c r="F252" s="79"/>
      <c r="G252" s="76"/>
      <c r="H252" s="54" t="str">
        <f aca="false">IF(OR(D252="",B252=""),"",IF(F252&lt;&gt;"",F252,B252+IFERROR(INDEX(Suppliers!$Q$7:$Q$106,MATCH(D252,Suppliers!$B$7:$B$106,0)),Setup!$C$7)))</f>
        <v/>
      </c>
      <c r="I252" s="46" t="str">
        <f aca="false">IF(OR(D252="",C252=""),IF(D252="","",0),SUMIFS(Payments!$D$8:$D$507,Payments!$C$8:$C$507,D252,Payments!$F$8:$F$507,C252))</f>
        <v/>
      </c>
      <c r="J252" s="46" t="str">
        <f aca="false">IF(D252="","",MIN(P252,MAX(0,R252-Q252)))</f>
        <v/>
      </c>
      <c r="K252" s="47" t="str">
        <f aca="false">IF(D252="","",P252-J252)</f>
        <v/>
      </c>
      <c r="L252" s="55" t="str">
        <f aca="false">IF(OR(D252="",N(K252)&lt;=0,H252=""),"",MAX(0,Setup!$C$11-H252))</f>
        <v/>
      </c>
      <c r="M252" s="54" t="str">
        <f aca="false">IF(OR(D252="",B252=""),"",IF(IFERROR(INDEX(Suppliers!$S$7:$S$106,MATCH(D252,Suppliers!$B$7:$B$106,0)),"")="","–",B252+IFERROR(INDEX(Suppliers!$S$7:$S$106,MATCH(D252,Suppliers!$B$7:$B$106,0)),"")))</f>
        <v/>
      </c>
      <c r="N252" s="56" t="str">
        <f aca="false">IF(D252="","",IF(N(K252)&lt;=0,"Paid",IF(AND(ISNUMBER(M252),Setup!$C$11&gt;M252),"⚠ MSME late",IF(N(L252)&gt;0,"Overdue",IF(N(V252)&lt;=Setup!$C$9,"⚠ MSME due soon",IF(K252&lt;E252,"Part paid","Not due"))))))</f>
        <v/>
      </c>
      <c r="O252" s="50" t="str">
        <f aca="false">IF(AND(D252="",B252="",C252="",E252=""),"",IF(D252="","⚠ Pick supplier",IF(ISNA(MATCH(D252,Suppliers!$B$7:$B$106,0)),"⚠ Supplier not in list",IF(B252="","⚠ Enter bill date",IF(N(E252)&lt;=0,"⚠ Enter amount",IF(AND(C252&lt;&gt;"",COUNTIFS($D$8:$D$507,D252,$C$8:$C$507,C252)&gt;1),"⚠ Bill no. used twice",IF(N(I252)&gt;N(E252),"⚠ Paid more than bill","✔")))))))</f>
        <v/>
      </c>
      <c r="P252" s="9" t="n">
        <f aca="false">IF(D252="",0,MAX(0,N(E252)-N(I252)))</f>
        <v>0</v>
      </c>
      <c r="Q252" s="9" t="n">
        <f aca="false">IF(D252="",0,SUMIFS($P$8:$P$507,$D$8:$D$507,D252,$B$8:$B$507,"&lt;"&amp;B252)+SUMIFS($P$8:P251,$D$8:D251,D252,$B$8:B251,B252))</f>
        <v>0</v>
      </c>
      <c r="R252" s="9" t="n">
        <f aca="false">IF(D252="",0,IFERROR(INDEX(Suppliers!$R$7:$R$106,MATCH(D252,Suppliers!$B$7:$B$106,0)),0))</f>
        <v>0</v>
      </c>
      <c r="S252" s="9" t="str">
        <f aca="false">IF(N(K252)&gt;0,IF(H252="",99999,MIN(H252,IF(ISNUMBER(M252),M252,H252)))+ROW()/100000,"")</f>
        <v/>
      </c>
      <c r="U252" s="9" t="n">
        <f aca="false">IF(N(K252)&gt;0,N(L252),0)</f>
        <v>0</v>
      </c>
      <c r="V252" s="9" t="n">
        <f aca="false">IF(AND(N(K252)&gt;0,ISNUMBER(M252)),M252-Setup!$C$11,99999)</f>
        <v>99999</v>
      </c>
    </row>
    <row r="253" customFormat="false" ht="15" hidden="false" customHeight="false" outlineLevel="0" collapsed="false">
      <c r="A253" s="40" t="str">
        <f aca="false">IF(D253="","",ROW()-7)</f>
        <v/>
      </c>
      <c r="B253" s="79"/>
      <c r="C253" s="75"/>
      <c r="D253" s="76"/>
      <c r="E253" s="80"/>
      <c r="F253" s="79"/>
      <c r="G253" s="76"/>
      <c r="H253" s="54" t="str">
        <f aca="false">IF(OR(D253="",B253=""),"",IF(F253&lt;&gt;"",F253,B253+IFERROR(INDEX(Suppliers!$Q$7:$Q$106,MATCH(D253,Suppliers!$B$7:$B$106,0)),Setup!$C$7)))</f>
        <v/>
      </c>
      <c r="I253" s="46" t="str">
        <f aca="false">IF(OR(D253="",C253=""),IF(D253="","",0),SUMIFS(Payments!$D$8:$D$507,Payments!$C$8:$C$507,D253,Payments!$F$8:$F$507,C253))</f>
        <v/>
      </c>
      <c r="J253" s="46" t="str">
        <f aca="false">IF(D253="","",MIN(P253,MAX(0,R253-Q253)))</f>
        <v/>
      </c>
      <c r="K253" s="47" t="str">
        <f aca="false">IF(D253="","",P253-J253)</f>
        <v/>
      </c>
      <c r="L253" s="55" t="str">
        <f aca="false">IF(OR(D253="",N(K253)&lt;=0,H253=""),"",MAX(0,Setup!$C$11-H253))</f>
        <v/>
      </c>
      <c r="M253" s="54" t="str">
        <f aca="false">IF(OR(D253="",B253=""),"",IF(IFERROR(INDEX(Suppliers!$S$7:$S$106,MATCH(D253,Suppliers!$B$7:$B$106,0)),"")="","–",B253+IFERROR(INDEX(Suppliers!$S$7:$S$106,MATCH(D253,Suppliers!$B$7:$B$106,0)),"")))</f>
        <v/>
      </c>
      <c r="N253" s="56" t="str">
        <f aca="false">IF(D253="","",IF(N(K253)&lt;=0,"Paid",IF(AND(ISNUMBER(M253),Setup!$C$11&gt;M253),"⚠ MSME late",IF(N(L253)&gt;0,"Overdue",IF(N(V253)&lt;=Setup!$C$9,"⚠ MSME due soon",IF(K253&lt;E253,"Part paid","Not due"))))))</f>
        <v/>
      </c>
      <c r="O253" s="50" t="str">
        <f aca="false">IF(AND(D253="",B253="",C253="",E253=""),"",IF(D253="","⚠ Pick supplier",IF(ISNA(MATCH(D253,Suppliers!$B$7:$B$106,0)),"⚠ Supplier not in list",IF(B253="","⚠ Enter bill date",IF(N(E253)&lt;=0,"⚠ Enter amount",IF(AND(C253&lt;&gt;"",COUNTIFS($D$8:$D$507,D253,$C$8:$C$507,C253)&gt;1),"⚠ Bill no. used twice",IF(N(I253)&gt;N(E253),"⚠ Paid more than bill","✔")))))))</f>
        <v/>
      </c>
      <c r="P253" s="9" t="n">
        <f aca="false">IF(D253="",0,MAX(0,N(E253)-N(I253)))</f>
        <v>0</v>
      </c>
      <c r="Q253" s="9" t="n">
        <f aca="false">IF(D253="",0,SUMIFS($P$8:$P$507,$D$8:$D$507,D253,$B$8:$B$507,"&lt;"&amp;B253)+SUMIFS($P$8:P252,$D$8:D252,D253,$B$8:B252,B253))</f>
        <v>0</v>
      </c>
      <c r="R253" s="9" t="n">
        <f aca="false">IF(D253="",0,IFERROR(INDEX(Suppliers!$R$7:$R$106,MATCH(D253,Suppliers!$B$7:$B$106,0)),0))</f>
        <v>0</v>
      </c>
      <c r="S253" s="9" t="str">
        <f aca="false">IF(N(K253)&gt;0,IF(H253="",99999,MIN(H253,IF(ISNUMBER(M253),M253,H253)))+ROW()/100000,"")</f>
        <v/>
      </c>
      <c r="U253" s="9" t="n">
        <f aca="false">IF(N(K253)&gt;0,N(L253),0)</f>
        <v>0</v>
      </c>
      <c r="V253" s="9" t="n">
        <f aca="false">IF(AND(N(K253)&gt;0,ISNUMBER(M253)),M253-Setup!$C$11,99999)</f>
        <v>99999</v>
      </c>
    </row>
    <row r="254" customFormat="false" ht="15" hidden="false" customHeight="false" outlineLevel="0" collapsed="false">
      <c r="A254" s="40" t="str">
        <f aca="false">IF(D254="","",ROW()-7)</f>
        <v/>
      </c>
      <c r="B254" s="79"/>
      <c r="C254" s="75"/>
      <c r="D254" s="76"/>
      <c r="E254" s="80"/>
      <c r="F254" s="79"/>
      <c r="G254" s="76"/>
      <c r="H254" s="54" t="str">
        <f aca="false">IF(OR(D254="",B254=""),"",IF(F254&lt;&gt;"",F254,B254+IFERROR(INDEX(Suppliers!$Q$7:$Q$106,MATCH(D254,Suppliers!$B$7:$B$106,0)),Setup!$C$7)))</f>
        <v/>
      </c>
      <c r="I254" s="46" t="str">
        <f aca="false">IF(OR(D254="",C254=""),IF(D254="","",0),SUMIFS(Payments!$D$8:$D$507,Payments!$C$8:$C$507,D254,Payments!$F$8:$F$507,C254))</f>
        <v/>
      </c>
      <c r="J254" s="46" t="str">
        <f aca="false">IF(D254="","",MIN(P254,MAX(0,R254-Q254)))</f>
        <v/>
      </c>
      <c r="K254" s="47" t="str">
        <f aca="false">IF(D254="","",P254-J254)</f>
        <v/>
      </c>
      <c r="L254" s="55" t="str">
        <f aca="false">IF(OR(D254="",N(K254)&lt;=0,H254=""),"",MAX(0,Setup!$C$11-H254))</f>
        <v/>
      </c>
      <c r="M254" s="54" t="str">
        <f aca="false">IF(OR(D254="",B254=""),"",IF(IFERROR(INDEX(Suppliers!$S$7:$S$106,MATCH(D254,Suppliers!$B$7:$B$106,0)),"")="","–",B254+IFERROR(INDEX(Suppliers!$S$7:$S$106,MATCH(D254,Suppliers!$B$7:$B$106,0)),"")))</f>
        <v/>
      </c>
      <c r="N254" s="56" t="str">
        <f aca="false">IF(D254="","",IF(N(K254)&lt;=0,"Paid",IF(AND(ISNUMBER(M254),Setup!$C$11&gt;M254),"⚠ MSME late",IF(N(L254)&gt;0,"Overdue",IF(N(V254)&lt;=Setup!$C$9,"⚠ MSME due soon",IF(K254&lt;E254,"Part paid","Not due"))))))</f>
        <v/>
      </c>
      <c r="O254" s="50" t="str">
        <f aca="false">IF(AND(D254="",B254="",C254="",E254=""),"",IF(D254="","⚠ Pick supplier",IF(ISNA(MATCH(D254,Suppliers!$B$7:$B$106,0)),"⚠ Supplier not in list",IF(B254="","⚠ Enter bill date",IF(N(E254)&lt;=0,"⚠ Enter amount",IF(AND(C254&lt;&gt;"",COUNTIFS($D$8:$D$507,D254,$C$8:$C$507,C254)&gt;1),"⚠ Bill no. used twice",IF(N(I254)&gt;N(E254),"⚠ Paid more than bill","✔")))))))</f>
        <v/>
      </c>
      <c r="P254" s="9" t="n">
        <f aca="false">IF(D254="",0,MAX(0,N(E254)-N(I254)))</f>
        <v>0</v>
      </c>
      <c r="Q254" s="9" t="n">
        <f aca="false">IF(D254="",0,SUMIFS($P$8:$P$507,$D$8:$D$507,D254,$B$8:$B$507,"&lt;"&amp;B254)+SUMIFS($P$8:P253,$D$8:D253,D254,$B$8:B253,B254))</f>
        <v>0</v>
      </c>
      <c r="R254" s="9" t="n">
        <f aca="false">IF(D254="",0,IFERROR(INDEX(Suppliers!$R$7:$R$106,MATCH(D254,Suppliers!$B$7:$B$106,0)),0))</f>
        <v>0</v>
      </c>
      <c r="S254" s="9" t="str">
        <f aca="false">IF(N(K254)&gt;0,IF(H254="",99999,MIN(H254,IF(ISNUMBER(M254),M254,H254)))+ROW()/100000,"")</f>
        <v/>
      </c>
      <c r="U254" s="9" t="n">
        <f aca="false">IF(N(K254)&gt;0,N(L254),0)</f>
        <v>0</v>
      </c>
      <c r="V254" s="9" t="n">
        <f aca="false">IF(AND(N(K254)&gt;0,ISNUMBER(M254)),M254-Setup!$C$11,99999)</f>
        <v>99999</v>
      </c>
    </row>
    <row r="255" customFormat="false" ht="15" hidden="false" customHeight="false" outlineLevel="0" collapsed="false">
      <c r="A255" s="40" t="str">
        <f aca="false">IF(D255="","",ROW()-7)</f>
        <v/>
      </c>
      <c r="B255" s="79"/>
      <c r="C255" s="75"/>
      <c r="D255" s="76"/>
      <c r="E255" s="80"/>
      <c r="F255" s="79"/>
      <c r="G255" s="76"/>
      <c r="H255" s="54" t="str">
        <f aca="false">IF(OR(D255="",B255=""),"",IF(F255&lt;&gt;"",F255,B255+IFERROR(INDEX(Suppliers!$Q$7:$Q$106,MATCH(D255,Suppliers!$B$7:$B$106,0)),Setup!$C$7)))</f>
        <v/>
      </c>
      <c r="I255" s="46" t="str">
        <f aca="false">IF(OR(D255="",C255=""),IF(D255="","",0),SUMIFS(Payments!$D$8:$D$507,Payments!$C$8:$C$507,D255,Payments!$F$8:$F$507,C255))</f>
        <v/>
      </c>
      <c r="J255" s="46" t="str">
        <f aca="false">IF(D255="","",MIN(P255,MAX(0,R255-Q255)))</f>
        <v/>
      </c>
      <c r="K255" s="47" t="str">
        <f aca="false">IF(D255="","",P255-J255)</f>
        <v/>
      </c>
      <c r="L255" s="55" t="str">
        <f aca="false">IF(OR(D255="",N(K255)&lt;=0,H255=""),"",MAX(0,Setup!$C$11-H255))</f>
        <v/>
      </c>
      <c r="M255" s="54" t="str">
        <f aca="false">IF(OR(D255="",B255=""),"",IF(IFERROR(INDEX(Suppliers!$S$7:$S$106,MATCH(D255,Suppliers!$B$7:$B$106,0)),"")="","–",B255+IFERROR(INDEX(Suppliers!$S$7:$S$106,MATCH(D255,Suppliers!$B$7:$B$106,0)),"")))</f>
        <v/>
      </c>
      <c r="N255" s="56" t="str">
        <f aca="false">IF(D255="","",IF(N(K255)&lt;=0,"Paid",IF(AND(ISNUMBER(M255),Setup!$C$11&gt;M255),"⚠ MSME late",IF(N(L255)&gt;0,"Overdue",IF(N(V255)&lt;=Setup!$C$9,"⚠ MSME due soon",IF(K255&lt;E255,"Part paid","Not due"))))))</f>
        <v/>
      </c>
      <c r="O255" s="50" t="str">
        <f aca="false">IF(AND(D255="",B255="",C255="",E255=""),"",IF(D255="","⚠ Pick supplier",IF(ISNA(MATCH(D255,Suppliers!$B$7:$B$106,0)),"⚠ Supplier not in list",IF(B255="","⚠ Enter bill date",IF(N(E255)&lt;=0,"⚠ Enter amount",IF(AND(C255&lt;&gt;"",COUNTIFS($D$8:$D$507,D255,$C$8:$C$507,C255)&gt;1),"⚠ Bill no. used twice",IF(N(I255)&gt;N(E255),"⚠ Paid more than bill","✔")))))))</f>
        <v/>
      </c>
      <c r="P255" s="9" t="n">
        <f aca="false">IF(D255="",0,MAX(0,N(E255)-N(I255)))</f>
        <v>0</v>
      </c>
      <c r="Q255" s="9" t="n">
        <f aca="false">IF(D255="",0,SUMIFS($P$8:$P$507,$D$8:$D$507,D255,$B$8:$B$507,"&lt;"&amp;B255)+SUMIFS($P$8:P254,$D$8:D254,D255,$B$8:B254,B255))</f>
        <v>0</v>
      </c>
      <c r="R255" s="9" t="n">
        <f aca="false">IF(D255="",0,IFERROR(INDEX(Suppliers!$R$7:$R$106,MATCH(D255,Suppliers!$B$7:$B$106,0)),0))</f>
        <v>0</v>
      </c>
      <c r="S255" s="9" t="str">
        <f aca="false">IF(N(K255)&gt;0,IF(H255="",99999,MIN(H255,IF(ISNUMBER(M255),M255,H255)))+ROW()/100000,"")</f>
        <v/>
      </c>
      <c r="U255" s="9" t="n">
        <f aca="false">IF(N(K255)&gt;0,N(L255),0)</f>
        <v>0</v>
      </c>
      <c r="V255" s="9" t="n">
        <f aca="false">IF(AND(N(K255)&gt;0,ISNUMBER(M255)),M255-Setup!$C$11,99999)</f>
        <v>99999</v>
      </c>
    </row>
    <row r="256" customFormat="false" ht="15" hidden="false" customHeight="false" outlineLevel="0" collapsed="false">
      <c r="A256" s="40" t="str">
        <f aca="false">IF(D256="","",ROW()-7)</f>
        <v/>
      </c>
      <c r="B256" s="79"/>
      <c r="C256" s="75"/>
      <c r="D256" s="76"/>
      <c r="E256" s="80"/>
      <c r="F256" s="79"/>
      <c r="G256" s="76"/>
      <c r="H256" s="54" t="str">
        <f aca="false">IF(OR(D256="",B256=""),"",IF(F256&lt;&gt;"",F256,B256+IFERROR(INDEX(Suppliers!$Q$7:$Q$106,MATCH(D256,Suppliers!$B$7:$B$106,0)),Setup!$C$7)))</f>
        <v/>
      </c>
      <c r="I256" s="46" t="str">
        <f aca="false">IF(OR(D256="",C256=""),IF(D256="","",0),SUMIFS(Payments!$D$8:$D$507,Payments!$C$8:$C$507,D256,Payments!$F$8:$F$507,C256))</f>
        <v/>
      </c>
      <c r="J256" s="46" t="str">
        <f aca="false">IF(D256="","",MIN(P256,MAX(0,R256-Q256)))</f>
        <v/>
      </c>
      <c r="K256" s="47" t="str">
        <f aca="false">IF(D256="","",P256-J256)</f>
        <v/>
      </c>
      <c r="L256" s="55" t="str">
        <f aca="false">IF(OR(D256="",N(K256)&lt;=0,H256=""),"",MAX(0,Setup!$C$11-H256))</f>
        <v/>
      </c>
      <c r="M256" s="54" t="str">
        <f aca="false">IF(OR(D256="",B256=""),"",IF(IFERROR(INDEX(Suppliers!$S$7:$S$106,MATCH(D256,Suppliers!$B$7:$B$106,0)),"")="","–",B256+IFERROR(INDEX(Suppliers!$S$7:$S$106,MATCH(D256,Suppliers!$B$7:$B$106,0)),"")))</f>
        <v/>
      </c>
      <c r="N256" s="56" t="str">
        <f aca="false">IF(D256="","",IF(N(K256)&lt;=0,"Paid",IF(AND(ISNUMBER(M256),Setup!$C$11&gt;M256),"⚠ MSME late",IF(N(L256)&gt;0,"Overdue",IF(N(V256)&lt;=Setup!$C$9,"⚠ MSME due soon",IF(K256&lt;E256,"Part paid","Not due"))))))</f>
        <v/>
      </c>
      <c r="O256" s="50" t="str">
        <f aca="false">IF(AND(D256="",B256="",C256="",E256=""),"",IF(D256="","⚠ Pick supplier",IF(ISNA(MATCH(D256,Suppliers!$B$7:$B$106,0)),"⚠ Supplier not in list",IF(B256="","⚠ Enter bill date",IF(N(E256)&lt;=0,"⚠ Enter amount",IF(AND(C256&lt;&gt;"",COUNTIFS($D$8:$D$507,D256,$C$8:$C$507,C256)&gt;1),"⚠ Bill no. used twice",IF(N(I256)&gt;N(E256),"⚠ Paid more than bill","✔")))))))</f>
        <v/>
      </c>
      <c r="P256" s="9" t="n">
        <f aca="false">IF(D256="",0,MAX(0,N(E256)-N(I256)))</f>
        <v>0</v>
      </c>
      <c r="Q256" s="9" t="n">
        <f aca="false">IF(D256="",0,SUMIFS($P$8:$P$507,$D$8:$D$507,D256,$B$8:$B$507,"&lt;"&amp;B256)+SUMIFS($P$8:P255,$D$8:D255,D256,$B$8:B255,B256))</f>
        <v>0</v>
      </c>
      <c r="R256" s="9" t="n">
        <f aca="false">IF(D256="",0,IFERROR(INDEX(Suppliers!$R$7:$R$106,MATCH(D256,Suppliers!$B$7:$B$106,0)),0))</f>
        <v>0</v>
      </c>
      <c r="S256" s="9" t="str">
        <f aca="false">IF(N(K256)&gt;0,IF(H256="",99999,MIN(H256,IF(ISNUMBER(M256),M256,H256)))+ROW()/100000,"")</f>
        <v/>
      </c>
      <c r="U256" s="9" t="n">
        <f aca="false">IF(N(K256)&gt;0,N(L256),0)</f>
        <v>0</v>
      </c>
      <c r="V256" s="9" t="n">
        <f aca="false">IF(AND(N(K256)&gt;0,ISNUMBER(M256)),M256-Setup!$C$11,99999)</f>
        <v>99999</v>
      </c>
    </row>
    <row r="257" customFormat="false" ht="15" hidden="false" customHeight="false" outlineLevel="0" collapsed="false">
      <c r="A257" s="40" t="str">
        <f aca="false">IF(D257="","",ROW()-7)</f>
        <v/>
      </c>
      <c r="B257" s="79"/>
      <c r="C257" s="75"/>
      <c r="D257" s="76"/>
      <c r="E257" s="80"/>
      <c r="F257" s="79"/>
      <c r="G257" s="76"/>
      <c r="H257" s="54" t="str">
        <f aca="false">IF(OR(D257="",B257=""),"",IF(F257&lt;&gt;"",F257,B257+IFERROR(INDEX(Suppliers!$Q$7:$Q$106,MATCH(D257,Suppliers!$B$7:$B$106,0)),Setup!$C$7)))</f>
        <v/>
      </c>
      <c r="I257" s="46" t="str">
        <f aca="false">IF(OR(D257="",C257=""),IF(D257="","",0),SUMIFS(Payments!$D$8:$D$507,Payments!$C$8:$C$507,D257,Payments!$F$8:$F$507,C257))</f>
        <v/>
      </c>
      <c r="J257" s="46" t="str">
        <f aca="false">IF(D257="","",MIN(P257,MAX(0,R257-Q257)))</f>
        <v/>
      </c>
      <c r="K257" s="47" t="str">
        <f aca="false">IF(D257="","",P257-J257)</f>
        <v/>
      </c>
      <c r="L257" s="55" t="str">
        <f aca="false">IF(OR(D257="",N(K257)&lt;=0,H257=""),"",MAX(0,Setup!$C$11-H257))</f>
        <v/>
      </c>
      <c r="M257" s="54" t="str">
        <f aca="false">IF(OR(D257="",B257=""),"",IF(IFERROR(INDEX(Suppliers!$S$7:$S$106,MATCH(D257,Suppliers!$B$7:$B$106,0)),"")="","–",B257+IFERROR(INDEX(Suppliers!$S$7:$S$106,MATCH(D257,Suppliers!$B$7:$B$106,0)),"")))</f>
        <v/>
      </c>
      <c r="N257" s="56" t="str">
        <f aca="false">IF(D257="","",IF(N(K257)&lt;=0,"Paid",IF(AND(ISNUMBER(M257),Setup!$C$11&gt;M257),"⚠ MSME late",IF(N(L257)&gt;0,"Overdue",IF(N(V257)&lt;=Setup!$C$9,"⚠ MSME due soon",IF(K257&lt;E257,"Part paid","Not due"))))))</f>
        <v/>
      </c>
      <c r="O257" s="50" t="str">
        <f aca="false">IF(AND(D257="",B257="",C257="",E257=""),"",IF(D257="","⚠ Pick supplier",IF(ISNA(MATCH(D257,Suppliers!$B$7:$B$106,0)),"⚠ Supplier not in list",IF(B257="","⚠ Enter bill date",IF(N(E257)&lt;=0,"⚠ Enter amount",IF(AND(C257&lt;&gt;"",COUNTIFS($D$8:$D$507,D257,$C$8:$C$507,C257)&gt;1),"⚠ Bill no. used twice",IF(N(I257)&gt;N(E257),"⚠ Paid more than bill","✔")))))))</f>
        <v/>
      </c>
      <c r="P257" s="9" t="n">
        <f aca="false">IF(D257="",0,MAX(0,N(E257)-N(I257)))</f>
        <v>0</v>
      </c>
      <c r="Q257" s="9" t="n">
        <f aca="false">IF(D257="",0,SUMIFS($P$8:$P$507,$D$8:$D$507,D257,$B$8:$B$507,"&lt;"&amp;B257)+SUMIFS($P$8:P256,$D$8:D256,D257,$B$8:B256,B257))</f>
        <v>0</v>
      </c>
      <c r="R257" s="9" t="n">
        <f aca="false">IF(D257="",0,IFERROR(INDEX(Suppliers!$R$7:$R$106,MATCH(D257,Suppliers!$B$7:$B$106,0)),0))</f>
        <v>0</v>
      </c>
      <c r="S257" s="9" t="str">
        <f aca="false">IF(N(K257)&gt;0,IF(H257="",99999,MIN(H257,IF(ISNUMBER(M257),M257,H257)))+ROW()/100000,"")</f>
        <v/>
      </c>
      <c r="U257" s="9" t="n">
        <f aca="false">IF(N(K257)&gt;0,N(L257),0)</f>
        <v>0</v>
      </c>
      <c r="V257" s="9" t="n">
        <f aca="false">IF(AND(N(K257)&gt;0,ISNUMBER(M257)),M257-Setup!$C$11,99999)</f>
        <v>99999</v>
      </c>
    </row>
    <row r="258" customFormat="false" ht="15" hidden="false" customHeight="false" outlineLevel="0" collapsed="false">
      <c r="A258" s="40" t="str">
        <f aca="false">IF(D258="","",ROW()-7)</f>
        <v/>
      </c>
      <c r="B258" s="79"/>
      <c r="C258" s="75"/>
      <c r="D258" s="76"/>
      <c r="E258" s="80"/>
      <c r="F258" s="79"/>
      <c r="G258" s="76"/>
      <c r="H258" s="54" t="str">
        <f aca="false">IF(OR(D258="",B258=""),"",IF(F258&lt;&gt;"",F258,B258+IFERROR(INDEX(Suppliers!$Q$7:$Q$106,MATCH(D258,Suppliers!$B$7:$B$106,0)),Setup!$C$7)))</f>
        <v/>
      </c>
      <c r="I258" s="46" t="str">
        <f aca="false">IF(OR(D258="",C258=""),IF(D258="","",0),SUMIFS(Payments!$D$8:$D$507,Payments!$C$8:$C$507,D258,Payments!$F$8:$F$507,C258))</f>
        <v/>
      </c>
      <c r="J258" s="46" t="str">
        <f aca="false">IF(D258="","",MIN(P258,MAX(0,R258-Q258)))</f>
        <v/>
      </c>
      <c r="K258" s="47" t="str">
        <f aca="false">IF(D258="","",P258-J258)</f>
        <v/>
      </c>
      <c r="L258" s="55" t="str">
        <f aca="false">IF(OR(D258="",N(K258)&lt;=0,H258=""),"",MAX(0,Setup!$C$11-H258))</f>
        <v/>
      </c>
      <c r="M258" s="54" t="str">
        <f aca="false">IF(OR(D258="",B258=""),"",IF(IFERROR(INDEX(Suppliers!$S$7:$S$106,MATCH(D258,Suppliers!$B$7:$B$106,0)),"")="","–",B258+IFERROR(INDEX(Suppliers!$S$7:$S$106,MATCH(D258,Suppliers!$B$7:$B$106,0)),"")))</f>
        <v/>
      </c>
      <c r="N258" s="56" t="str">
        <f aca="false">IF(D258="","",IF(N(K258)&lt;=0,"Paid",IF(AND(ISNUMBER(M258),Setup!$C$11&gt;M258),"⚠ MSME late",IF(N(L258)&gt;0,"Overdue",IF(N(V258)&lt;=Setup!$C$9,"⚠ MSME due soon",IF(K258&lt;E258,"Part paid","Not due"))))))</f>
        <v/>
      </c>
      <c r="O258" s="50" t="str">
        <f aca="false">IF(AND(D258="",B258="",C258="",E258=""),"",IF(D258="","⚠ Pick supplier",IF(ISNA(MATCH(D258,Suppliers!$B$7:$B$106,0)),"⚠ Supplier not in list",IF(B258="","⚠ Enter bill date",IF(N(E258)&lt;=0,"⚠ Enter amount",IF(AND(C258&lt;&gt;"",COUNTIFS($D$8:$D$507,D258,$C$8:$C$507,C258)&gt;1),"⚠ Bill no. used twice",IF(N(I258)&gt;N(E258),"⚠ Paid more than bill","✔")))))))</f>
        <v/>
      </c>
      <c r="P258" s="9" t="n">
        <f aca="false">IF(D258="",0,MAX(0,N(E258)-N(I258)))</f>
        <v>0</v>
      </c>
      <c r="Q258" s="9" t="n">
        <f aca="false">IF(D258="",0,SUMIFS($P$8:$P$507,$D$8:$D$507,D258,$B$8:$B$507,"&lt;"&amp;B258)+SUMIFS($P$8:P257,$D$8:D257,D258,$B$8:B257,B258))</f>
        <v>0</v>
      </c>
      <c r="R258" s="9" t="n">
        <f aca="false">IF(D258="",0,IFERROR(INDEX(Suppliers!$R$7:$R$106,MATCH(D258,Suppliers!$B$7:$B$106,0)),0))</f>
        <v>0</v>
      </c>
      <c r="S258" s="9" t="str">
        <f aca="false">IF(N(K258)&gt;0,IF(H258="",99999,MIN(H258,IF(ISNUMBER(M258),M258,H258)))+ROW()/100000,"")</f>
        <v/>
      </c>
      <c r="U258" s="9" t="n">
        <f aca="false">IF(N(K258)&gt;0,N(L258),0)</f>
        <v>0</v>
      </c>
      <c r="V258" s="9" t="n">
        <f aca="false">IF(AND(N(K258)&gt;0,ISNUMBER(M258)),M258-Setup!$C$11,99999)</f>
        <v>99999</v>
      </c>
    </row>
    <row r="259" customFormat="false" ht="15" hidden="false" customHeight="false" outlineLevel="0" collapsed="false">
      <c r="A259" s="40" t="str">
        <f aca="false">IF(D259="","",ROW()-7)</f>
        <v/>
      </c>
      <c r="B259" s="79"/>
      <c r="C259" s="75"/>
      <c r="D259" s="76"/>
      <c r="E259" s="80"/>
      <c r="F259" s="79"/>
      <c r="G259" s="76"/>
      <c r="H259" s="54" t="str">
        <f aca="false">IF(OR(D259="",B259=""),"",IF(F259&lt;&gt;"",F259,B259+IFERROR(INDEX(Suppliers!$Q$7:$Q$106,MATCH(D259,Suppliers!$B$7:$B$106,0)),Setup!$C$7)))</f>
        <v/>
      </c>
      <c r="I259" s="46" t="str">
        <f aca="false">IF(OR(D259="",C259=""),IF(D259="","",0),SUMIFS(Payments!$D$8:$D$507,Payments!$C$8:$C$507,D259,Payments!$F$8:$F$507,C259))</f>
        <v/>
      </c>
      <c r="J259" s="46" t="str">
        <f aca="false">IF(D259="","",MIN(P259,MAX(0,R259-Q259)))</f>
        <v/>
      </c>
      <c r="K259" s="47" t="str">
        <f aca="false">IF(D259="","",P259-J259)</f>
        <v/>
      </c>
      <c r="L259" s="55" t="str">
        <f aca="false">IF(OR(D259="",N(K259)&lt;=0,H259=""),"",MAX(0,Setup!$C$11-H259))</f>
        <v/>
      </c>
      <c r="M259" s="54" t="str">
        <f aca="false">IF(OR(D259="",B259=""),"",IF(IFERROR(INDEX(Suppliers!$S$7:$S$106,MATCH(D259,Suppliers!$B$7:$B$106,0)),"")="","–",B259+IFERROR(INDEX(Suppliers!$S$7:$S$106,MATCH(D259,Suppliers!$B$7:$B$106,0)),"")))</f>
        <v/>
      </c>
      <c r="N259" s="56" t="str">
        <f aca="false">IF(D259="","",IF(N(K259)&lt;=0,"Paid",IF(AND(ISNUMBER(M259),Setup!$C$11&gt;M259),"⚠ MSME late",IF(N(L259)&gt;0,"Overdue",IF(N(V259)&lt;=Setup!$C$9,"⚠ MSME due soon",IF(K259&lt;E259,"Part paid","Not due"))))))</f>
        <v/>
      </c>
      <c r="O259" s="50" t="str">
        <f aca="false">IF(AND(D259="",B259="",C259="",E259=""),"",IF(D259="","⚠ Pick supplier",IF(ISNA(MATCH(D259,Suppliers!$B$7:$B$106,0)),"⚠ Supplier not in list",IF(B259="","⚠ Enter bill date",IF(N(E259)&lt;=0,"⚠ Enter amount",IF(AND(C259&lt;&gt;"",COUNTIFS($D$8:$D$507,D259,$C$8:$C$507,C259)&gt;1),"⚠ Bill no. used twice",IF(N(I259)&gt;N(E259),"⚠ Paid more than bill","✔")))))))</f>
        <v/>
      </c>
      <c r="P259" s="9" t="n">
        <f aca="false">IF(D259="",0,MAX(0,N(E259)-N(I259)))</f>
        <v>0</v>
      </c>
      <c r="Q259" s="9" t="n">
        <f aca="false">IF(D259="",0,SUMIFS($P$8:$P$507,$D$8:$D$507,D259,$B$8:$B$507,"&lt;"&amp;B259)+SUMIFS($P$8:P258,$D$8:D258,D259,$B$8:B258,B259))</f>
        <v>0</v>
      </c>
      <c r="R259" s="9" t="n">
        <f aca="false">IF(D259="",0,IFERROR(INDEX(Suppliers!$R$7:$R$106,MATCH(D259,Suppliers!$B$7:$B$106,0)),0))</f>
        <v>0</v>
      </c>
      <c r="S259" s="9" t="str">
        <f aca="false">IF(N(K259)&gt;0,IF(H259="",99999,MIN(H259,IF(ISNUMBER(M259),M259,H259)))+ROW()/100000,"")</f>
        <v/>
      </c>
      <c r="U259" s="9" t="n">
        <f aca="false">IF(N(K259)&gt;0,N(L259),0)</f>
        <v>0</v>
      </c>
      <c r="V259" s="9" t="n">
        <f aca="false">IF(AND(N(K259)&gt;0,ISNUMBER(M259)),M259-Setup!$C$11,99999)</f>
        <v>99999</v>
      </c>
    </row>
    <row r="260" customFormat="false" ht="15" hidden="false" customHeight="false" outlineLevel="0" collapsed="false">
      <c r="A260" s="40" t="str">
        <f aca="false">IF(D260="","",ROW()-7)</f>
        <v/>
      </c>
      <c r="B260" s="79"/>
      <c r="C260" s="75"/>
      <c r="D260" s="76"/>
      <c r="E260" s="80"/>
      <c r="F260" s="79"/>
      <c r="G260" s="76"/>
      <c r="H260" s="54" t="str">
        <f aca="false">IF(OR(D260="",B260=""),"",IF(F260&lt;&gt;"",F260,B260+IFERROR(INDEX(Suppliers!$Q$7:$Q$106,MATCH(D260,Suppliers!$B$7:$B$106,0)),Setup!$C$7)))</f>
        <v/>
      </c>
      <c r="I260" s="46" t="str">
        <f aca="false">IF(OR(D260="",C260=""),IF(D260="","",0),SUMIFS(Payments!$D$8:$D$507,Payments!$C$8:$C$507,D260,Payments!$F$8:$F$507,C260))</f>
        <v/>
      </c>
      <c r="J260" s="46" t="str">
        <f aca="false">IF(D260="","",MIN(P260,MAX(0,R260-Q260)))</f>
        <v/>
      </c>
      <c r="K260" s="47" t="str">
        <f aca="false">IF(D260="","",P260-J260)</f>
        <v/>
      </c>
      <c r="L260" s="55" t="str">
        <f aca="false">IF(OR(D260="",N(K260)&lt;=0,H260=""),"",MAX(0,Setup!$C$11-H260))</f>
        <v/>
      </c>
      <c r="M260" s="54" t="str">
        <f aca="false">IF(OR(D260="",B260=""),"",IF(IFERROR(INDEX(Suppliers!$S$7:$S$106,MATCH(D260,Suppliers!$B$7:$B$106,0)),"")="","–",B260+IFERROR(INDEX(Suppliers!$S$7:$S$106,MATCH(D260,Suppliers!$B$7:$B$106,0)),"")))</f>
        <v/>
      </c>
      <c r="N260" s="56" t="str">
        <f aca="false">IF(D260="","",IF(N(K260)&lt;=0,"Paid",IF(AND(ISNUMBER(M260),Setup!$C$11&gt;M260),"⚠ MSME late",IF(N(L260)&gt;0,"Overdue",IF(N(V260)&lt;=Setup!$C$9,"⚠ MSME due soon",IF(K260&lt;E260,"Part paid","Not due"))))))</f>
        <v/>
      </c>
      <c r="O260" s="50" t="str">
        <f aca="false">IF(AND(D260="",B260="",C260="",E260=""),"",IF(D260="","⚠ Pick supplier",IF(ISNA(MATCH(D260,Suppliers!$B$7:$B$106,0)),"⚠ Supplier not in list",IF(B260="","⚠ Enter bill date",IF(N(E260)&lt;=0,"⚠ Enter amount",IF(AND(C260&lt;&gt;"",COUNTIFS($D$8:$D$507,D260,$C$8:$C$507,C260)&gt;1),"⚠ Bill no. used twice",IF(N(I260)&gt;N(E260),"⚠ Paid more than bill","✔")))))))</f>
        <v/>
      </c>
      <c r="P260" s="9" t="n">
        <f aca="false">IF(D260="",0,MAX(0,N(E260)-N(I260)))</f>
        <v>0</v>
      </c>
      <c r="Q260" s="9" t="n">
        <f aca="false">IF(D260="",0,SUMIFS($P$8:$P$507,$D$8:$D$507,D260,$B$8:$B$507,"&lt;"&amp;B260)+SUMIFS($P$8:P259,$D$8:D259,D260,$B$8:B259,B260))</f>
        <v>0</v>
      </c>
      <c r="R260" s="9" t="n">
        <f aca="false">IF(D260="",0,IFERROR(INDEX(Suppliers!$R$7:$R$106,MATCH(D260,Suppliers!$B$7:$B$106,0)),0))</f>
        <v>0</v>
      </c>
      <c r="S260" s="9" t="str">
        <f aca="false">IF(N(K260)&gt;0,IF(H260="",99999,MIN(H260,IF(ISNUMBER(M260),M260,H260)))+ROW()/100000,"")</f>
        <v/>
      </c>
      <c r="U260" s="9" t="n">
        <f aca="false">IF(N(K260)&gt;0,N(L260),0)</f>
        <v>0</v>
      </c>
      <c r="V260" s="9" t="n">
        <f aca="false">IF(AND(N(K260)&gt;0,ISNUMBER(M260)),M260-Setup!$C$11,99999)</f>
        <v>99999</v>
      </c>
    </row>
    <row r="261" customFormat="false" ht="15" hidden="false" customHeight="false" outlineLevel="0" collapsed="false">
      <c r="A261" s="40" t="str">
        <f aca="false">IF(D261="","",ROW()-7)</f>
        <v/>
      </c>
      <c r="B261" s="79"/>
      <c r="C261" s="75"/>
      <c r="D261" s="76"/>
      <c r="E261" s="80"/>
      <c r="F261" s="79"/>
      <c r="G261" s="76"/>
      <c r="H261" s="54" t="str">
        <f aca="false">IF(OR(D261="",B261=""),"",IF(F261&lt;&gt;"",F261,B261+IFERROR(INDEX(Suppliers!$Q$7:$Q$106,MATCH(D261,Suppliers!$B$7:$B$106,0)),Setup!$C$7)))</f>
        <v/>
      </c>
      <c r="I261" s="46" t="str">
        <f aca="false">IF(OR(D261="",C261=""),IF(D261="","",0),SUMIFS(Payments!$D$8:$D$507,Payments!$C$8:$C$507,D261,Payments!$F$8:$F$507,C261))</f>
        <v/>
      </c>
      <c r="J261" s="46" t="str">
        <f aca="false">IF(D261="","",MIN(P261,MAX(0,R261-Q261)))</f>
        <v/>
      </c>
      <c r="K261" s="47" t="str">
        <f aca="false">IF(D261="","",P261-J261)</f>
        <v/>
      </c>
      <c r="L261" s="55" t="str">
        <f aca="false">IF(OR(D261="",N(K261)&lt;=0,H261=""),"",MAX(0,Setup!$C$11-H261))</f>
        <v/>
      </c>
      <c r="M261" s="54" t="str">
        <f aca="false">IF(OR(D261="",B261=""),"",IF(IFERROR(INDEX(Suppliers!$S$7:$S$106,MATCH(D261,Suppliers!$B$7:$B$106,0)),"")="","–",B261+IFERROR(INDEX(Suppliers!$S$7:$S$106,MATCH(D261,Suppliers!$B$7:$B$106,0)),"")))</f>
        <v/>
      </c>
      <c r="N261" s="56" t="str">
        <f aca="false">IF(D261="","",IF(N(K261)&lt;=0,"Paid",IF(AND(ISNUMBER(M261),Setup!$C$11&gt;M261),"⚠ MSME late",IF(N(L261)&gt;0,"Overdue",IF(N(V261)&lt;=Setup!$C$9,"⚠ MSME due soon",IF(K261&lt;E261,"Part paid","Not due"))))))</f>
        <v/>
      </c>
      <c r="O261" s="50" t="str">
        <f aca="false">IF(AND(D261="",B261="",C261="",E261=""),"",IF(D261="","⚠ Pick supplier",IF(ISNA(MATCH(D261,Suppliers!$B$7:$B$106,0)),"⚠ Supplier not in list",IF(B261="","⚠ Enter bill date",IF(N(E261)&lt;=0,"⚠ Enter amount",IF(AND(C261&lt;&gt;"",COUNTIFS($D$8:$D$507,D261,$C$8:$C$507,C261)&gt;1),"⚠ Bill no. used twice",IF(N(I261)&gt;N(E261),"⚠ Paid more than bill","✔")))))))</f>
        <v/>
      </c>
      <c r="P261" s="9" t="n">
        <f aca="false">IF(D261="",0,MAX(0,N(E261)-N(I261)))</f>
        <v>0</v>
      </c>
      <c r="Q261" s="9" t="n">
        <f aca="false">IF(D261="",0,SUMIFS($P$8:$P$507,$D$8:$D$507,D261,$B$8:$B$507,"&lt;"&amp;B261)+SUMIFS($P$8:P260,$D$8:D260,D261,$B$8:B260,B261))</f>
        <v>0</v>
      </c>
      <c r="R261" s="9" t="n">
        <f aca="false">IF(D261="",0,IFERROR(INDEX(Suppliers!$R$7:$R$106,MATCH(D261,Suppliers!$B$7:$B$106,0)),0))</f>
        <v>0</v>
      </c>
      <c r="S261" s="9" t="str">
        <f aca="false">IF(N(K261)&gt;0,IF(H261="",99999,MIN(H261,IF(ISNUMBER(M261),M261,H261)))+ROW()/100000,"")</f>
        <v/>
      </c>
      <c r="U261" s="9" t="n">
        <f aca="false">IF(N(K261)&gt;0,N(L261),0)</f>
        <v>0</v>
      </c>
      <c r="V261" s="9" t="n">
        <f aca="false">IF(AND(N(K261)&gt;0,ISNUMBER(M261)),M261-Setup!$C$11,99999)</f>
        <v>99999</v>
      </c>
    </row>
    <row r="262" customFormat="false" ht="15" hidden="false" customHeight="false" outlineLevel="0" collapsed="false">
      <c r="A262" s="40" t="str">
        <f aca="false">IF(D262="","",ROW()-7)</f>
        <v/>
      </c>
      <c r="B262" s="79"/>
      <c r="C262" s="75"/>
      <c r="D262" s="76"/>
      <c r="E262" s="80"/>
      <c r="F262" s="79"/>
      <c r="G262" s="76"/>
      <c r="H262" s="54" t="str">
        <f aca="false">IF(OR(D262="",B262=""),"",IF(F262&lt;&gt;"",F262,B262+IFERROR(INDEX(Suppliers!$Q$7:$Q$106,MATCH(D262,Suppliers!$B$7:$B$106,0)),Setup!$C$7)))</f>
        <v/>
      </c>
      <c r="I262" s="46" t="str">
        <f aca="false">IF(OR(D262="",C262=""),IF(D262="","",0),SUMIFS(Payments!$D$8:$D$507,Payments!$C$8:$C$507,D262,Payments!$F$8:$F$507,C262))</f>
        <v/>
      </c>
      <c r="J262" s="46" t="str">
        <f aca="false">IF(D262="","",MIN(P262,MAX(0,R262-Q262)))</f>
        <v/>
      </c>
      <c r="K262" s="47" t="str">
        <f aca="false">IF(D262="","",P262-J262)</f>
        <v/>
      </c>
      <c r="L262" s="55" t="str">
        <f aca="false">IF(OR(D262="",N(K262)&lt;=0,H262=""),"",MAX(0,Setup!$C$11-H262))</f>
        <v/>
      </c>
      <c r="M262" s="54" t="str">
        <f aca="false">IF(OR(D262="",B262=""),"",IF(IFERROR(INDEX(Suppliers!$S$7:$S$106,MATCH(D262,Suppliers!$B$7:$B$106,0)),"")="","–",B262+IFERROR(INDEX(Suppliers!$S$7:$S$106,MATCH(D262,Suppliers!$B$7:$B$106,0)),"")))</f>
        <v/>
      </c>
      <c r="N262" s="56" t="str">
        <f aca="false">IF(D262="","",IF(N(K262)&lt;=0,"Paid",IF(AND(ISNUMBER(M262),Setup!$C$11&gt;M262),"⚠ MSME late",IF(N(L262)&gt;0,"Overdue",IF(N(V262)&lt;=Setup!$C$9,"⚠ MSME due soon",IF(K262&lt;E262,"Part paid","Not due"))))))</f>
        <v/>
      </c>
      <c r="O262" s="50" t="str">
        <f aca="false">IF(AND(D262="",B262="",C262="",E262=""),"",IF(D262="","⚠ Pick supplier",IF(ISNA(MATCH(D262,Suppliers!$B$7:$B$106,0)),"⚠ Supplier not in list",IF(B262="","⚠ Enter bill date",IF(N(E262)&lt;=0,"⚠ Enter amount",IF(AND(C262&lt;&gt;"",COUNTIFS($D$8:$D$507,D262,$C$8:$C$507,C262)&gt;1),"⚠ Bill no. used twice",IF(N(I262)&gt;N(E262),"⚠ Paid more than bill","✔")))))))</f>
        <v/>
      </c>
      <c r="P262" s="9" t="n">
        <f aca="false">IF(D262="",0,MAX(0,N(E262)-N(I262)))</f>
        <v>0</v>
      </c>
      <c r="Q262" s="9" t="n">
        <f aca="false">IF(D262="",0,SUMIFS($P$8:$P$507,$D$8:$D$507,D262,$B$8:$B$507,"&lt;"&amp;B262)+SUMIFS($P$8:P261,$D$8:D261,D262,$B$8:B261,B262))</f>
        <v>0</v>
      </c>
      <c r="R262" s="9" t="n">
        <f aca="false">IF(D262="",0,IFERROR(INDEX(Suppliers!$R$7:$R$106,MATCH(D262,Suppliers!$B$7:$B$106,0)),0))</f>
        <v>0</v>
      </c>
      <c r="S262" s="9" t="str">
        <f aca="false">IF(N(K262)&gt;0,IF(H262="",99999,MIN(H262,IF(ISNUMBER(M262),M262,H262)))+ROW()/100000,"")</f>
        <v/>
      </c>
      <c r="U262" s="9" t="n">
        <f aca="false">IF(N(K262)&gt;0,N(L262),0)</f>
        <v>0</v>
      </c>
      <c r="V262" s="9" t="n">
        <f aca="false">IF(AND(N(K262)&gt;0,ISNUMBER(M262)),M262-Setup!$C$11,99999)</f>
        <v>99999</v>
      </c>
    </row>
    <row r="263" customFormat="false" ht="15" hidden="false" customHeight="false" outlineLevel="0" collapsed="false">
      <c r="A263" s="40" t="str">
        <f aca="false">IF(D263="","",ROW()-7)</f>
        <v/>
      </c>
      <c r="B263" s="79"/>
      <c r="C263" s="75"/>
      <c r="D263" s="76"/>
      <c r="E263" s="80"/>
      <c r="F263" s="79"/>
      <c r="G263" s="76"/>
      <c r="H263" s="54" t="str">
        <f aca="false">IF(OR(D263="",B263=""),"",IF(F263&lt;&gt;"",F263,B263+IFERROR(INDEX(Suppliers!$Q$7:$Q$106,MATCH(D263,Suppliers!$B$7:$B$106,0)),Setup!$C$7)))</f>
        <v/>
      </c>
      <c r="I263" s="46" t="str">
        <f aca="false">IF(OR(D263="",C263=""),IF(D263="","",0),SUMIFS(Payments!$D$8:$D$507,Payments!$C$8:$C$507,D263,Payments!$F$8:$F$507,C263))</f>
        <v/>
      </c>
      <c r="J263" s="46" t="str">
        <f aca="false">IF(D263="","",MIN(P263,MAX(0,R263-Q263)))</f>
        <v/>
      </c>
      <c r="K263" s="47" t="str">
        <f aca="false">IF(D263="","",P263-J263)</f>
        <v/>
      </c>
      <c r="L263" s="55" t="str">
        <f aca="false">IF(OR(D263="",N(K263)&lt;=0,H263=""),"",MAX(0,Setup!$C$11-H263))</f>
        <v/>
      </c>
      <c r="M263" s="54" t="str">
        <f aca="false">IF(OR(D263="",B263=""),"",IF(IFERROR(INDEX(Suppliers!$S$7:$S$106,MATCH(D263,Suppliers!$B$7:$B$106,0)),"")="","–",B263+IFERROR(INDEX(Suppliers!$S$7:$S$106,MATCH(D263,Suppliers!$B$7:$B$106,0)),"")))</f>
        <v/>
      </c>
      <c r="N263" s="56" t="str">
        <f aca="false">IF(D263="","",IF(N(K263)&lt;=0,"Paid",IF(AND(ISNUMBER(M263),Setup!$C$11&gt;M263),"⚠ MSME late",IF(N(L263)&gt;0,"Overdue",IF(N(V263)&lt;=Setup!$C$9,"⚠ MSME due soon",IF(K263&lt;E263,"Part paid","Not due"))))))</f>
        <v/>
      </c>
      <c r="O263" s="50" t="str">
        <f aca="false">IF(AND(D263="",B263="",C263="",E263=""),"",IF(D263="","⚠ Pick supplier",IF(ISNA(MATCH(D263,Suppliers!$B$7:$B$106,0)),"⚠ Supplier not in list",IF(B263="","⚠ Enter bill date",IF(N(E263)&lt;=0,"⚠ Enter amount",IF(AND(C263&lt;&gt;"",COUNTIFS($D$8:$D$507,D263,$C$8:$C$507,C263)&gt;1),"⚠ Bill no. used twice",IF(N(I263)&gt;N(E263),"⚠ Paid more than bill","✔")))))))</f>
        <v/>
      </c>
      <c r="P263" s="9" t="n">
        <f aca="false">IF(D263="",0,MAX(0,N(E263)-N(I263)))</f>
        <v>0</v>
      </c>
      <c r="Q263" s="9" t="n">
        <f aca="false">IF(D263="",0,SUMIFS($P$8:$P$507,$D$8:$D$507,D263,$B$8:$B$507,"&lt;"&amp;B263)+SUMIFS($P$8:P262,$D$8:D262,D263,$B$8:B262,B263))</f>
        <v>0</v>
      </c>
      <c r="R263" s="9" t="n">
        <f aca="false">IF(D263="",0,IFERROR(INDEX(Suppliers!$R$7:$R$106,MATCH(D263,Suppliers!$B$7:$B$106,0)),0))</f>
        <v>0</v>
      </c>
      <c r="S263" s="9" t="str">
        <f aca="false">IF(N(K263)&gt;0,IF(H263="",99999,MIN(H263,IF(ISNUMBER(M263),M263,H263)))+ROW()/100000,"")</f>
        <v/>
      </c>
      <c r="U263" s="9" t="n">
        <f aca="false">IF(N(K263)&gt;0,N(L263),0)</f>
        <v>0</v>
      </c>
      <c r="V263" s="9" t="n">
        <f aca="false">IF(AND(N(K263)&gt;0,ISNUMBER(M263)),M263-Setup!$C$11,99999)</f>
        <v>99999</v>
      </c>
    </row>
    <row r="264" customFormat="false" ht="15" hidden="false" customHeight="false" outlineLevel="0" collapsed="false">
      <c r="A264" s="40" t="str">
        <f aca="false">IF(D264="","",ROW()-7)</f>
        <v/>
      </c>
      <c r="B264" s="79"/>
      <c r="C264" s="75"/>
      <c r="D264" s="76"/>
      <c r="E264" s="80"/>
      <c r="F264" s="79"/>
      <c r="G264" s="76"/>
      <c r="H264" s="54" t="str">
        <f aca="false">IF(OR(D264="",B264=""),"",IF(F264&lt;&gt;"",F264,B264+IFERROR(INDEX(Suppliers!$Q$7:$Q$106,MATCH(D264,Suppliers!$B$7:$B$106,0)),Setup!$C$7)))</f>
        <v/>
      </c>
      <c r="I264" s="46" t="str">
        <f aca="false">IF(OR(D264="",C264=""),IF(D264="","",0),SUMIFS(Payments!$D$8:$D$507,Payments!$C$8:$C$507,D264,Payments!$F$8:$F$507,C264))</f>
        <v/>
      </c>
      <c r="J264" s="46" t="str">
        <f aca="false">IF(D264="","",MIN(P264,MAX(0,R264-Q264)))</f>
        <v/>
      </c>
      <c r="K264" s="47" t="str">
        <f aca="false">IF(D264="","",P264-J264)</f>
        <v/>
      </c>
      <c r="L264" s="55" t="str">
        <f aca="false">IF(OR(D264="",N(K264)&lt;=0,H264=""),"",MAX(0,Setup!$C$11-H264))</f>
        <v/>
      </c>
      <c r="M264" s="54" t="str">
        <f aca="false">IF(OR(D264="",B264=""),"",IF(IFERROR(INDEX(Suppliers!$S$7:$S$106,MATCH(D264,Suppliers!$B$7:$B$106,0)),"")="","–",B264+IFERROR(INDEX(Suppliers!$S$7:$S$106,MATCH(D264,Suppliers!$B$7:$B$106,0)),"")))</f>
        <v/>
      </c>
      <c r="N264" s="56" t="str">
        <f aca="false">IF(D264="","",IF(N(K264)&lt;=0,"Paid",IF(AND(ISNUMBER(M264),Setup!$C$11&gt;M264),"⚠ MSME late",IF(N(L264)&gt;0,"Overdue",IF(N(V264)&lt;=Setup!$C$9,"⚠ MSME due soon",IF(K264&lt;E264,"Part paid","Not due"))))))</f>
        <v/>
      </c>
      <c r="O264" s="50" t="str">
        <f aca="false">IF(AND(D264="",B264="",C264="",E264=""),"",IF(D264="","⚠ Pick supplier",IF(ISNA(MATCH(D264,Suppliers!$B$7:$B$106,0)),"⚠ Supplier not in list",IF(B264="","⚠ Enter bill date",IF(N(E264)&lt;=0,"⚠ Enter amount",IF(AND(C264&lt;&gt;"",COUNTIFS($D$8:$D$507,D264,$C$8:$C$507,C264)&gt;1),"⚠ Bill no. used twice",IF(N(I264)&gt;N(E264),"⚠ Paid more than bill","✔")))))))</f>
        <v/>
      </c>
      <c r="P264" s="9" t="n">
        <f aca="false">IF(D264="",0,MAX(0,N(E264)-N(I264)))</f>
        <v>0</v>
      </c>
      <c r="Q264" s="9" t="n">
        <f aca="false">IF(D264="",0,SUMIFS($P$8:$P$507,$D$8:$D$507,D264,$B$8:$B$507,"&lt;"&amp;B264)+SUMIFS($P$8:P263,$D$8:D263,D264,$B$8:B263,B264))</f>
        <v>0</v>
      </c>
      <c r="R264" s="9" t="n">
        <f aca="false">IF(D264="",0,IFERROR(INDEX(Suppliers!$R$7:$R$106,MATCH(D264,Suppliers!$B$7:$B$106,0)),0))</f>
        <v>0</v>
      </c>
      <c r="S264" s="9" t="str">
        <f aca="false">IF(N(K264)&gt;0,IF(H264="",99999,MIN(H264,IF(ISNUMBER(M264),M264,H264)))+ROW()/100000,"")</f>
        <v/>
      </c>
      <c r="U264" s="9" t="n">
        <f aca="false">IF(N(K264)&gt;0,N(L264),0)</f>
        <v>0</v>
      </c>
      <c r="V264" s="9" t="n">
        <f aca="false">IF(AND(N(K264)&gt;0,ISNUMBER(M264)),M264-Setup!$C$11,99999)</f>
        <v>99999</v>
      </c>
    </row>
    <row r="265" customFormat="false" ht="15" hidden="false" customHeight="false" outlineLevel="0" collapsed="false">
      <c r="A265" s="40" t="str">
        <f aca="false">IF(D265="","",ROW()-7)</f>
        <v/>
      </c>
      <c r="B265" s="79"/>
      <c r="C265" s="75"/>
      <c r="D265" s="76"/>
      <c r="E265" s="80"/>
      <c r="F265" s="79"/>
      <c r="G265" s="76"/>
      <c r="H265" s="54" t="str">
        <f aca="false">IF(OR(D265="",B265=""),"",IF(F265&lt;&gt;"",F265,B265+IFERROR(INDEX(Suppliers!$Q$7:$Q$106,MATCH(D265,Suppliers!$B$7:$B$106,0)),Setup!$C$7)))</f>
        <v/>
      </c>
      <c r="I265" s="46" t="str">
        <f aca="false">IF(OR(D265="",C265=""),IF(D265="","",0),SUMIFS(Payments!$D$8:$D$507,Payments!$C$8:$C$507,D265,Payments!$F$8:$F$507,C265))</f>
        <v/>
      </c>
      <c r="J265" s="46" t="str">
        <f aca="false">IF(D265="","",MIN(P265,MAX(0,R265-Q265)))</f>
        <v/>
      </c>
      <c r="K265" s="47" t="str">
        <f aca="false">IF(D265="","",P265-J265)</f>
        <v/>
      </c>
      <c r="L265" s="55" t="str">
        <f aca="false">IF(OR(D265="",N(K265)&lt;=0,H265=""),"",MAX(0,Setup!$C$11-H265))</f>
        <v/>
      </c>
      <c r="M265" s="54" t="str">
        <f aca="false">IF(OR(D265="",B265=""),"",IF(IFERROR(INDEX(Suppliers!$S$7:$S$106,MATCH(D265,Suppliers!$B$7:$B$106,0)),"")="","–",B265+IFERROR(INDEX(Suppliers!$S$7:$S$106,MATCH(D265,Suppliers!$B$7:$B$106,0)),"")))</f>
        <v/>
      </c>
      <c r="N265" s="56" t="str">
        <f aca="false">IF(D265="","",IF(N(K265)&lt;=0,"Paid",IF(AND(ISNUMBER(M265),Setup!$C$11&gt;M265),"⚠ MSME late",IF(N(L265)&gt;0,"Overdue",IF(N(V265)&lt;=Setup!$C$9,"⚠ MSME due soon",IF(K265&lt;E265,"Part paid","Not due"))))))</f>
        <v/>
      </c>
      <c r="O265" s="50" t="str">
        <f aca="false">IF(AND(D265="",B265="",C265="",E265=""),"",IF(D265="","⚠ Pick supplier",IF(ISNA(MATCH(D265,Suppliers!$B$7:$B$106,0)),"⚠ Supplier not in list",IF(B265="","⚠ Enter bill date",IF(N(E265)&lt;=0,"⚠ Enter amount",IF(AND(C265&lt;&gt;"",COUNTIFS($D$8:$D$507,D265,$C$8:$C$507,C265)&gt;1),"⚠ Bill no. used twice",IF(N(I265)&gt;N(E265),"⚠ Paid more than bill","✔")))))))</f>
        <v/>
      </c>
      <c r="P265" s="9" t="n">
        <f aca="false">IF(D265="",0,MAX(0,N(E265)-N(I265)))</f>
        <v>0</v>
      </c>
      <c r="Q265" s="9" t="n">
        <f aca="false">IF(D265="",0,SUMIFS($P$8:$P$507,$D$8:$D$507,D265,$B$8:$B$507,"&lt;"&amp;B265)+SUMIFS($P$8:P264,$D$8:D264,D265,$B$8:B264,B265))</f>
        <v>0</v>
      </c>
      <c r="R265" s="9" t="n">
        <f aca="false">IF(D265="",0,IFERROR(INDEX(Suppliers!$R$7:$R$106,MATCH(D265,Suppliers!$B$7:$B$106,0)),0))</f>
        <v>0</v>
      </c>
      <c r="S265" s="9" t="str">
        <f aca="false">IF(N(K265)&gt;0,IF(H265="",99999,MIN(H265,IF(ISNUMBER(M265),M265,H265)))+ROW()/100000,"")</f>
        <v/>
      </c>
      <c r="U265" s="9" t="n">
        <f aca="false">IF(N(K265)&gt;0,N(L265),0)</f>
        <v>0</v>
      </c>
      <c r="V265" s="9" t="n">
        <f aca="false">IF(AND(N(K265)&gt;0,ISNUMBER(M265)),M265-Setup!$C$11,99999)</f>
        <v>99999</v>
      </c>
    </row>
    <row r="266" customFormat="false" ht="15" hidden="false" customHeight="false" outlineLevel="0" collapsed="false">
      <c r="A266" s="40" t="str">
        <f aca="false">IF(D266="","",ROW()-7)</f>
        <v/>
      </c>
      <c r="B266" s="79"/>
      <c r="C266" s="75"/>
      <c r="D266" s="76"/>
      <c r="E266" s="80"/>
      <c r="F266" s="79"/>
      <c r="G266" s="76"/>
      <c r="H266" s="54" t="str">
        <f aca="false">IF(OR(D266="",B266=""),"",IF(F266&lt;&gt;"",F266,B266+IFERROR(INDEX(Suppliers!$Q$7:$Q$106,MATCH(D266,Suppliers!$B$7:$B$106,0)),Setup!$C$7)))</f>
        <v/>
      </c>
      <c r="I266" s="46" t="str">
        <f aca="false">IF(OR(D266="",C266=""),IF(D266="","",0),SUMIFS(Payments!$D$8:$D$507,Payments!$C$8:$C$507,D266,Payments!$F$8:$F$507,C266))</f>
        <v/>
      </c>
      <c r="J266" s="46" t="str">
        <f aca="false">IF(D266="","",MIN(P266,MAX(0,R266-Q266)))</f>
        <v/>
      </c>
      <c r="K266" s="47" t="str">
        <f aca="false">IF(D266="","",P266-J266)</f>
        <v/>
      </c>
      <c r="L266" s="55" t="str">
        <f aca="false">IF(OR(D266="",N(K266)&lt;=0,H266=""),"",MAX(0,Setup!$C$11-H266))</f>
        <v/>
      </c>
      <c r="M266" s="54" t="str">
        <f aca="false">IF(OR(D266="",B266=""),"",IF(IFERROR(INDEX(Suppliers!$S$7:$S$106,MATCH(D266,Suppliers!$B$7:$B$106,0)),"")="","–",B266+IFERROR(INDEX(Suppliers!$S$7:$S$106,MATCH(D266,Suppliers!$B$7:$B$106,0)),"")))</f>
        <v/>
      </c>
      <c r="N266" s="56" t="str">
        <f aca="false">IF(D266="","",IF(N(K266)&lt;=0,"Paid",IF(AND(ISNUMBER(M266),Setup!$C$11&gt;M266),"⚠ MSME late",IF(N(L266)&gt;0,"Overdue",IF(N(V266)&lt;=Setup!$C$9,"⚠ MSME due soon",IF(K266&lt;E266,"Part paid","Not due"))))))</f>
        <v/>
      </c>
      <c r="O266" s="50" t="str">
        <f aca="false">IF(AND(D266="",B266="",C266="",E266=""),"",IF(D266="","⚠ Pick supplier",IF(ISNA(MATCH(D266,Suppliers!$B$7:$B$106,0)),"⚠ Supplier not in list",IF(B266="","⚠ Enter bill date",IF(N(E266)&lt;=0,"⚠ Enter amount",IF(AND(C266&lt;&gt;"",COUNTIFS($D$8:$D$507,D266,$C$8:$C$507,C266)&gt;1),"⚠ Bill no. used twice",IF(N(I266)&gt;N(E266),"⚠ Paid more than bill","✔")))))))</f>
        <v/>
      </c>
      <c r="P266" s="9" t="n">
        <f aca="false">IF(D266="",0,MAX(0,N(E266)-N(I266)))</f>
        <v>0</v>
      </c>
      <c r="Q266" s="9" t="n">
        <f aca="false">IF(D266="",0,SUMIFS($P$8:$P$507,$D$8:$D$507,D266,$B$8:$B$507,"&lt;"&amp;B266)+SUMIFS($P$8:P265,$D$8:D265,D266,$B$8:B265,B266))</f>
        <v>0</v>
      </c>
      <c r="R266" s="9" t="n">
        <f aca="false">IF(D266="",0,IFERROR(INDEX(Suppliers!$R$7:$R$106,MATCH(D266,Suppliers!$B$7:$B$106,0)),0))</f>
        <v>0</v>
      </c>
      <c r="S266" s="9" t="str">
        <f aca="false">IF(N(K266)&gt;0,IF(H266="",99999,MIN(H266,IF(ISNUMBER(M266),M266,H266)))+ROW()/100000,"")</f>
        <v/>
      </c>
      <c r="U266" s="9" t="n">
        <f aca="false">IF(N(K266)&gt;0,N(L266),0)</f>
        <v>0</v>
      </c>
      <c r="V266" s="9" t="n">
        <f aca="false">IF(AND(N(K266)&gt;0,ISNUMBER(M266)),M266-Setup!$C$11,99999)</f>
        <v>99999</v>
      </c>
    </row>
    <row r="267" customFormat="false" ht="15" hidden="false" customHeight="false" outlineLevel="0" collapsed="false">
      <c r="A267" s="40" t="str">
        <f aca="false">IF(D267="","",ROW()-7)</f>
        <v/>
      </c>
      <c r="B267" s="79"/>
      <c r="C267" s="75"/>
      <c r="D267" s="76"/>
      <c r="E267" s="80"/>
      <c r="F267" s="79"/>
      <c r="G267" s="76"/>
      <c r="H267" s="54" t="str">
        <f aca="false">IF(OR(D267="",B267=""),"",IF(F267&lt;&gt;"",F267,B267+IFERROR(INDEX(Suppliers!$Q$7:$Q$106,MATCH(D267,Suppliers!$B$7:$B$106,0)),Setup!$C$7)))</f>
        <v/>
      </c>
      <c r="I267" s="46" t="str">
        <f aca="false">IF(OR(D267="",C267=""),IF(D267="","",0),SUMIFS(Payments!$D$8:$D$507,Payments!$C$8:$C$507,D267,Payments!$F$8:$F$507,C267))</f>
        <v/>
      </c>
      <c r="J267" s="46" t="str">
        <f aca="false">IF(D267="","",MIN(P267,MAX(0,R267-Q267)))</f>
        <v/>
      </c>
      <c r="K267" s="47" t="str">
        <f aca="false">IF(D267="","",P267-J267)</f>
        <v/>
      </c>
      <c r="L267" s="55" t="str">
        <f aca="false">IF(OR(D267="",N(K267)&lt;=0,H267=""),"",MAX(0,Setup!$C$11-H267))</f>
        <v/>
      </c>
      <c r="M267" s="54" t="str">
        <f aca="false">IF(OR(D267="",B267=""),"",IF(IFERROR(INDEX(Suppliers!$S$7:$S$106,MATCH(D267,Suppliers!$B$7:$B$106,0)),"")="","–",B267+IFERROR(INDEX(Suppliers!$S$7:$S$106,MATCH(D267,Suppliers!$B$7:$B$106,0)),"")))</f>
        <v/>
      </c>
      <c r="N267" s="56" t="str">
        <f aca="false">IF(D267="","",IF(N(K267)&lt;=0,"Paid",IF(AND(ISNUMBER(M267),Setup!$C$11&gt;M267),"⚠ MSME late",IF(N(L267)&gt;0,"Overdue",IF(N(V267)&lt;=Setup!$C$9,"⚠ MSME due soon",IF(K267&lt;E267,"Part paid","Not due"))))))</f>
        <v/>
      </c>
      <c r="O267" s="50" t="str">
        <f aca="false">IF(AND(D267="",B267="",C267="",E267=""),"",IF(D267="","⚠ Pick supplier",IF(ISNA(MATCH(D267,Suppliers!$B$7:$B$106,0)),"⚠ Supplier not in list",IF(B267="","⚠ Enter bill date",IF(N(E267)&lt;=0,"⚠ Enter amount",IF(AND(C267&lt;&gt;"",COUNTIFS($D$8:$D$507,D267,$C$8:$C$507,C267)&gt;1),"⚠ Bill no. used twice",IF(N(I267)&gt;N(E267),"⚠ Paid more than bill","✔")))))))</f>
        <v/>
      </c>
      <c r="P267" s="9" t="n">
        <f aca="false">IF(D267="",0,MAX(0,N(E267)-N(I267)))</f>
        <v>0</v>
      </c>
      <c r="Q267" s="9" t="n">
        <f aca="false">IF(D267="",0,SUMIFS($P$8:$P$507,$D$8:$D$507,D267,$B$8:$B$507,"&lt;"&amp;B267)+SUMIFS($P$8:P266,$D$8:D266,D267,$B$8:B266,B267))</f>
        <v>0</v>
      </c>
      <c r="R267" s="9" t="n">
        <f aca="false">IF(D267="",0,IFERROR(INDEX(Suppliers!$R$7:$R$106,MATCH(D267,Suppliers!$B$7:$B$106,0)),0))</f>
        <v>0</v>
      </c>
      <c r="S267" s="9" t="str">
        <f aca="false">IF(N(K267)&gt;0,IF(H267="",99999,MIN(H267,IF(ISNUMBER(M267),M267,H267)))+ROW()/100000,"")</f>
        <v/>
      </c>
      <c r="U267" s="9" t="n">
        <f aca="false">IF(N(K267)&gt;0,N(L267),0)</f>
        <v>0</v>
      </c>
      <c r="V267" s="9" t="n">
        <f aca="false">IF(AND(N(K267)&gt;0,ISNUMBER(M267)),M267-Setup!$C$11,99999)</f>
        <v>99999</v>
      </c>
    </row>
    <row r="268" customFormat="false" ht="15" hidden="false" customHeight="false" outlineLevel="0" collapsed="false">
      <c r="A268" s="40" t="str">
        <f aca="false">IF(D268="","",ROW()-7)</f>
        <v/>
      </c>
      <c r="B268" s="79"/>
      <c r="C268" s="75"/>
      <c r="D268" s="76"/>
      <c r="E268" s="80"/>
      <c r="F268" s="79"/>
      <c r="G268" s="76"/>
      <c r="H268" s="54" t="str">
        <f aca="false">IF(OR(D268="",B268=""),"",IF(F268&lt;&gt;"",F268,B268+IFERROR(INDEX(Suppliers!$Q$7:$Q$106,MATCH(D268,Suppliers!$B$7:$B$106,0)),Setup!$C$7)))</f>
        <v/>
      </c>
      <c r="I268" s="46" t="str">
        <f aca="false">IF(OR(D268="",C268=""),IF(D268="","",0),SUMIFS(Payments!$D$8:$D$507,Payments!$C$8:$C$507,D268,Payments!$F$8:$F$507,C268))</f>
        <v/>
      </c>
      <c r="J268" s="46" t="str">
        <f aca="false">IF(D268="","",MIN(P268,MAX(0,R268-Q268)))</f>
        <v/>
      </c>
      <c r="K268" s="47" t="str">
        <f aca="false">IF(D268="","",P268-J268)</f>
        <v/>
      </c>
      <c r="L268" s="55" t="str">
        <f aca="false">IF(OR(D268="",N(K268)&lt;=0,H268=""),"",MAX(0,Setup!$C$11-H268))</f>
        <v/>
      </c>
      <c r="M268" s="54" t="str">
        <f aca="false">IF(OR(D268="",B268=""),"",IF(IFERROR(INDEX(Suppliers!$S$7:$S$106,MATCH(D268,Suppliers!$B$7:$B$106,0)),"")="","–",B268+IFERROR(INDEX(Suppliers!$S$7:$S$106,MATCH(D268,Suppliers!$B$7:$B$106,0)),"")))</f>
        <v/>
      </c>
      <c r="N268" s="56" t="str">
        <f aca="false">IF(D268="","",IF(N(K268)&lt;=0,"Paid",IF(AND(ISNUMBER(M268),Setup!$C$11&gt;M268),"⚠ MSME late",IF(N(L268)&gt;0,"Overdue",IF(N(V268)&lt;=Setup!$C$9,"⚠ MSME due soon",IF(K268&lt;E268,"Part paid","Not due"))))))</f>
        <v/>
      </c>
      <c r="O268" s="50" t="str">
        <f aca="false">IF(AND(D268="",B268="",C268="",E268=""),"",IF(D268="","⚠ Pick supplier",IF(ISNA(MATCH(D268,Suppliers!$B$7:$B$106,0)),"⚠ Supplier not in list",IF(B268="","⚠ Enter bill date",IF(N(E268)&lt;=0,"⚠ Enter amount",IF(AND(C268&lt;&gt;"",COUNTIFS($D$8:$D$507,D268,$C$8:$C$507,C268)&gt;1),"⚠ Bill no. used twice",IF(N(I268)&gt;N(E268),"⚠ Paid more than bill","✔")))))))</f>
        <v/>
      </c>
      <c r="P268" s="9" t="n">
        <f aca="false">IF(D268="",0,MAX(0,N(E268)-N(I268)))</f>
        <v>0</v>
      </c>
      <c r="Q268" s="9" t="n">
        <f aca="false">IF(D268="",0,SUMIFS($P$8:$P$507,$D$8:$D$507,D268,$B$8:$B$507,"&lt;"&amp;B268)+SUMIFS($P$8:P267,$D$8:D267,D268,$B$8:B267,B268))</f>
        <v>0</v>
      </c>
      <c r="R268" s="9" t="n">
        <f aca="false">IF(D268="",0,IFERROR(INDEX(Suppliers!$R$7:$R$106,MATCH(D268,Suppliers!$B$7:$B$106,0)),0))</f>
        <v>0</v>
      </c>
      <c r="S268" s="9" t="str">
        <f aca="false">IF(N(K268)&gt;0,IF(H268="",99999,MIN(H268,IF(ISNUMBER(M268),M268,H268)))+ROW()/100000,"")</f>
        <v/>
      </c>
      <c r="U268" s="9" t="n">
        <f aca="false">IF(N(K268)&gt;0,N(L268),0)</f>
        <v>0</v>
      </c>
      <c r="V268" s="9" t="n">
        <f aca="false">IF(AND(N(K268)&gt;0,ISNUMBER(M268)),M268-Setup!$C$11,99999)</f>
        <v>99999</v>
      </c>
    </row>
    <row r="269" customFormat="false" ht="15" hidden="false" customHeight="false" outlineLevel="0" collapsed="false">
      <c r="A269" s="40" t="str">
        <f aca="false">IF(D269="","",ROW()-7)</f>
        <v/>
      </c>
      <c r="B269" s="79"/>
      <c r="C269" s="75"/>
      <c r="D269" s="76"/>
      <c r="E269" s="80"/>
      <c r="F269" s="79"/>
      <c r="G269" s="76"/>
      <c r="H269" s="54" t="str">
        <f aca="false">IF(OR(D269="",B269=""),"",IF(F269&lt;&gt;"",F269,B269+IFERROR(INDEX(Suppliers!$Q$7:$Q$106,MATCH(D269,Suppliers!$B$7:$B$106,0)),Setup!$C$7)))</f>
        <v/>
      </c>
      <c r="I269" s="46" t="str">
        <f aca="false">IF(OR(D269="",C269=""),IF(D269="","",0),SUMIFS(Payments!$D$8:$D$507,Payments!$C$8:$C$507,D269,Payments!$F$8:$F$507,C269))</f>
        <v/>
      </c>
      <c r="J269" s="46" t="str">
        <f aca="false">IF(D269="","",MIN(P269,MAX(0,R269-Q269)))</f>
        <v/>
      </c>
      <c r="K269" s="47" t="str">
        <f aca="false">IF(D269="","",P269-J269)</f>
        <v/>
      </c>
      <c r="L269" s="55" t="str">
        <f aca="false">IF(OR(D269="",N(K269)&lt;=0,H269=""),"",MAX(0,Setup!$C$11-H269))</f>
        <v/>
      </c>
      <c r="M269" s="54" t="str">
        <f aca="false">IF(OR(D269="",B269=""),"",IF(IFERROR(INDEX(Suppliers!$S$7:$S$106,MATCH(D269,Suppliers!$B$7:$B$106,0)),"")="","–",B269+IFERROR(INDEX(Suppliers!$S$7:$S$106,MATCH(D269,Suppliers!$B$7:$B$106,0)),"")))</f>
        <v/>
      </c>
      <c r="N269" s="56" t="str">
        <f aca="false">IF(D269="","",IF(N(K269)&lt;=0,"Paid",IF(AND(ISNUMBER(M269),Setup!$C$11&gt;M269),"⚠ MSME late",IF(N(L269)&gt;0,"Overdue",IF(N(V269)&lt;=Setup!$C$9,"⚠ MSME due soon",IF(K269&lt;E269,"Part paid","Not due"))))))</f>
        <v/>
      </c>
      <c r="O269" s="50" t="str">
        <f aca="false">IF(AND(D269="",B269="",C269="",E269=""),"",IF(D269="","⚠ Pick supplier",IF(ISNA(MATCH(D269,Suppliers!$B$7:$B$106,0)),"⚠ Supplier not in list",IF(B269="","⚠ Enter bill date",IF(N(E269)&lt;=0,"⚠ Enter amount",IF(AND(C269&lt;&gt;"",COUNTIFS($D$8:$D$507,D269,$C$8:$C$507,C269)&gt;1),"⚠ Bill no. used twice",IF(N(I269)&gt;N(E269),"⚠ Paid more than bill","✔")))))))</f>
        <v/>
      </c>
      <c r="P269" s="9" t="n">
        <f aca="false">IF(D269="",0,MAX(0,N(E269)-N(I269)))</f>
        <v>0</v>
      </c>
      <c r="Q269" s="9" t="n">
        <f aca="false">IF(D269="",0,SUMIFS($P$8:$P$507,$D$8:$D$507,D269,$B$8:$B$507,"&lt;"&amp;B269)+SUMIFS($P$8:P268,$D$8:D268,D269,$B$8:B268,B269))</f>
        <v>0</v>
      </c>
      <c r="R269" s="9" t="n">
        <f aca="false">IF(D269="",0,IFERROR(INDEX(Suppliers!$R$7:$R$106,MATCH(D269,Suppliers!$B$7:$B$106,0)),0))</f>
        <v>0</v>
      </c>
      <c r="S269" s="9" t="str">
        <f aca="false">IF(N(K269)&gt;0,IF(H269="",99999,MIN(H269,IF(ISNUMBER(M269),M269,H269)))+ROW()/100000,"")</f>
        <v/>
      </c>
      <c r="U269" s="9" t="n">
        <f aca="false">IF(N(K269)&gt;0,N(L269),0)</f>
        <v>0</v>
      </c>
      <c r="V269" s="9" t="n">
        <f aca="false">IF(AND(N(K269)&gt;0,ISNUMBER(M269)),M269-Setup!$C$11,99999)</f>
        <v>99999</v>
      </c>
    </row>
    <row r="270" customFormat="false" ht="15" hidden="false" customHeight="false" outlineLevel="0" collapsed="false">
      <c r="A270" s="40" t="str">
        <f aca="false">IF(D270="","",ROW()-7)</f>
        <v/>
      </c>
      <c r="B270" s="79"/>
      <c r="C270" s="75"/>
      <c r="D270" s="76"/>
      <c r="E270" s="80"/>
      <c r="F270" s="79"/>
      <c r="G270" s="76"/>
      <c r="H270" s="54" t="str">
        <f aca="false">IF(OR(D270="",B270=""),"",IF(F270&lt;&gt;"",F270,B270+IFERROR(INDEX(Suppliers!$Q$7:$Q$106,MATCH(D270,Suppliers!$B$7:$B$106,0)),Setup!$C$7)))</f>
        <v/>
      </c>
      <c r="I270" s="46" t="str">
        <f aca="false">IF(OR(D270="",C270=""),IF(D270="","",0),SUMIFS(Payments!$D$8:$D$507,Payments!$C$8:$C$507,D270,Payments!$F$8:$F$507,C270))</f>
        <v/>
      </c>
      <c r="J270" s="46" t="str">
        <f aca="false">IF(D270="","",MIN(P270,MAX(0,R270-Q270)))</f>
        <v/>
      </c>
      <c r="K270" s="47" t="str">
        <f aca="false">IF(D270="","",P270-J270)</f>
        <v/>
      </c>
      <c r="L270" s="55" t="str">
        <f aca="false">IF(OR(D270="",N(K270)&lt;=0,H270=""),"",MAX(0,Setup!$C$11-H270))</f>
        <v/>
      </c>
      <c r="M270" s="54" t="str">
        <f aca="false">IF(OR(D270="",B270=""),"",IF(IFERROR(INDEX(Suppliers!$S$7:$S$106,MATCH(D270,Suppliers!$B$7:$B$106,0)),"")="","–",B270+IFERROR(INDEX(Suppliers!$S$7:$S$106,MATCH(D270,Suppliers!$B$7:$B$106,0)),"")))</f>
        <v/>
      </c>
      <c r="N270" s="56" t="str">
        <f aca="false">IF(D270="","",IF(N(K270)&lt;=0,"Paid",IF(AND(ISNUMBER(M270),Setup!$C$11&gt;M270),"⚠ MSME late",IF(N(L270)&gt;0,"Overdue",IF(N(V270)&lt;=Setup!$C$9,"⚠ MSME due soon",IF(K270&lt;E270,"Part paid","Not due"))))))</f>
        <v/>
      </c>
      <c r="O270" s="50" t="str">
        <f aca="false">IF(AND(D270="",B270="",C270="",E270=""),"",IF(D270="","⚠ Pick supplier",IF(ISNA(MATCH(D270,Suppliers!$B$7:$B$106,0)),"⚠ Supplier not in list",IF(B270="","⚠ Enter bill date",IF(N(E270)&lt;=0,"⚠ Enter amount",IF(AND(C270&lt;&gt;"",COUNTIFS($D$8:$D$507,D270,$C$8:$C$507,C270)&gt;1),"⚠ Bill no. used twice",IF(N(I270)&gt;N(E270),"⚠ Paid more than bill","✔")))))))</f>
        <v/>
      </c>
      <c r="P270" s="9" t="n">
        <f aca="false">IF(D270="",0,MAX(0,N(E270)-N(I270)))</f>
        <v>0</v>
      </c>
      <c r="Q270" s="9" t="n">
        <f aca="false">IF(D270="",0,SUMIFS($P$8:$P$507,$D$8:$D$507,D270,$B$8:$B$507,"&lt;"&amp;B270)+SUMIFS($P$8:P269,$D$8:D269,D270,$B$8:B269,B270))</f>
        <v>0</v>
      </c>
      <c r="R270" s="9" t="n">
        <f aca="false">IF(D270="",0,IFERROR(INDEX(Suppliers!$R$7:$R$106,MATCH(D270,Suppliers!$B$7:$B$106,0)),0))</f>
        <v>0</v>
      </c>
      <c r="S270" s="9" t="str">
        <f aca="false">IF(N(K270)&gt;0,IF(H270="",99999,MIN(H270,IF(ISNUMBER(M270),M270,H270)))+ROW()/100000,"")</f>
        <v/>
      </c>
      <c r="U270" s="9" t="n">
        <f aca="false">IF(N(K270)&gt;0,N(L270),0)</f>
        <v>0</v>
      </c>
      <c r="V270" s="9" t="n">
        <f aca="false">IF(AND(N(K270)&gt;0,ISNUMBER(M270)),M270-Setup!$C$11,99999)</f>
        <v>99999</v>
      </c>
    </row>
    <row r="271" customFormat="false" ht="15" hidden="false" customHeight="false" outlineLevel="0" collapsed="false">
      <c r="A271" s="40" t="str">
        <f aca="false">IF(D271="","",ROW()-7)</f>
        <v/>
      </c>
      <c r="B271" s="79"/>
      <c r="C271" s="75"/>
      <c r="D271" s="76"/>
      <c r="E271" s="80"/>
      <c r="F271" s="79"/>
      <c r="G271" s="76"/>
      <c r="H271" s="54" t="str">
        <f aca="false">IF(OR(D271="",B271=""),"",IF(F271&lt;&gt;"",F271,B271+IFERROR(INDEX(Suppliers!$Q$7:$Q$106,MATCH(D271,Suppliers!$B$7:$B$106,0)),Setup!$C$7)))</f>
        <v/>
      </c>
      <c r="I271" s="46" t="str">
        <f aca="false">IF(OR(D271="",C271=""),IF(D271="","",0),SUMIFS(Payments!$D$8:$D$507,Payments!$C$8:$C$507,D271,Payments!$F$8:$F$507,C271))</f>
        <v/>
      </c>
      <c r="J271" s="46" t="str">
        <f aca="false">IF(D271="","",MIN(P271,MAX(0,R271-Q271)))</f>
        <v/>
      </c>
      <c r="K271" s="47" t="str">
        <f aca="false">IF(D271="","",P271-J271)</f>
        <v/>
      </c>
      <c r="L271" s="55" t="str">
        <f aca="false">IF(OR(D271="",N(K271)&lt;=0,H271=""),"",MAX(0,Setup!$C$11-H271))</f>
        <v/>
      </c>
      <c r="M271" s="54" t="str">
        <f aca="false">IF(OR(D271="",B271=""),"",IF(IFERROR(INDEX(Suppliers!$S$7:$S$106,MATCH(D271,Suppliers!$B$7:$B$106,0)),"")="","–",B271+IFERROR(INDEX(Suppliers!$S$7:$S$106,MATCH(D271,Suppliers!$B$7:$B$106,0)),"")))</f>
        <v/>
      </c>
      <c r="N271" s="56" t="str">
        <f aca="false">IF(D271="","",IF(N(K271)&lt;=0,"Paid",IF(AND(ISNUMBER(M271),Setup!$C$11&gt;M271),"⚠ MSME late",IF(N(L271)&gt;0,"Overdue",IF(N(V271)&lt;=Setup!$C$9,"⚠ MSME due soon",IF(K271&lt;E271,"Part paid","Not due"))))))</f>
        <v/>
      </c>
      <c r="O271" s="50" t="str">
        <f aca="false">IF(AND(D271="",B271="",C271="",E271=""),"",IF(D271="","⚠ Pick supplier",IF(ISNA(MATCH(D271,Suppliers!$B$7:$B$106,0)),"⚠ Supplier not in list",IF(B271="","⚠ Enter bill date",IF(N(E271)&lt;=0,"⚠ Enter amount",IF(AND(C271&lt;&gt;"",COUNTIFS($D$8:$D$507,D271,$C$8:$C$507,C271)&gt;1),"⚠ Bill no. used twice",IF(N(I271)&gt;N(E271),"⚠ Paid more than bill","✔")))))))</f>
        <v/>
      </c>
      <c r="P271" s="9" t="n">
        <f aca="false">IF(D271="",0,MAX(0,N(E271)-N(I271)))</f>
        <v>0</v>
      </c>
      <c r="Q271" s="9" t="n">
        <f aca="false">IF(D271="",0,SUMIFS($P$8:$P$507,$D$8:$D$507,D271,$B$8:$B$507,"&lt;"&amp;B271)+SUMIFS($P$8:P270,$D$8:D270,D271,$B$8:B270,B271))</f>
        <v>0</v>
      </c>
      <c r="R271" s="9" t="n">
        <f aca="false">IF(D271="",0,IFERROR(INDEX(Suppliers!$R$7:$R$106,MATCH(D271,Suppliers!$B$7:$B$106,0)),0))</f>
        <v>0</v>
      </c>
      <c r="S271" s="9" t="str">
        <f aca="false">IF(N(K271)&gt;0,IF(H271="",99999,MIN(H271,IF(ISNUMBER(M271),M271,H271)))+ROW()/100000,"")</f>
        <v/>
      </c>
      <c r="U271" s="9" t="n">
        <f aca="false">IF(N(K271)&gt;0,N(L271),0)</f>
        <v>0</v>
      </c>
      <c r="V271" s="9" t="n">
        <f aca="false">IF(AND(N(K271)&gt;0,ISNUMBER(M271)),M271-Setup!$C$11,99999)</f>
        <v>99999</v>
      </c>
    </row>
    <row r="272" customFormat="false" ht="15" hidden="false" customHeight="false" outlineLevel="0" collapsed="false">
      <c r="A272" s="40" t="str">
        <f aca="false">IF(D272="","",ROW()-7)</f>
        <v/>
      </c>
      <c r="B272" s="79"/>
      <c r="C272" s="75"/>
      <c r="D272" s="76"/>
      <c r="E272" s="80"/>
      <c r="F272" s="79"/>
      <c r="G272" s="76"/>
      <c r="H272" s="54" t="str">
        <f aca="false">IF(OR(D272="",B272=""),"",IF(F272&lt;&gt;"",F272,B272+IFERROR(INDEX(Suppliers!$Q$7:$Q$106,MATCH(D272,Suppliers!$B$7:$B$106,0)),Setup!$C$7)))</f>
        <v/>
      </c>
      <c r="I272" s="46" t="str">
        <f aca="false">IF(OR(D272="",C272=""),IF(D272="","",0),SUMIFS(Payments!$D$8:$D$507,Payments!$C$8:$C$507,D272,Payments!$F$8:$F$507,C272))</f>
        <v/>
      </c>
      <c r="J272" s="46" t="str">
        <f aca="false">IF(D272="","",MIN(P272,MAX(0,R272-Q272)))</f>
        <v/>
      </c>
      <c r="K272" s="47" t="str">
        <f aca="false">IF(D272="","",P272-J272)</f>
        <v/>
      </c>
      <c r="L272" s="55" t="str">
        <f aca="false">IF(OR(D272="",N(K272)&lt;=0,H272=""),"",MAX(0,Setup!$C$11-H272))</f>
        <v/>
      </c>
      <c r="M272" s="54" t="str">
        <f aca="false">IF(OR(D272="",B272=""),"",IF(IFERROR(INDEX(Suppliers!$S$7:$S$106,MATCH(D272,Suppliers!$B$7:$B$106,0)),"")="","–",B272+IFERROR(INDEX(Suppliers!$S$7:$S$106,MATCH(D272,Suppliers!$B$7:$B$106,0)),"")))</f>
        <v/>
      </c>
      <c r="N272" s="56" t="str">
        <f aca="false">IF(D272="","",IF(N(K272)&lt;=0,"Paid",IF(AND(ISNUMBER(M272),Setup!$C$11&gt;M272),"⚠ MSME late",IF(N(L272)&gt;0,"Overdue",IF(N(V272)&lt;=Setup!$C$9,"⚠ MSME due soon",IF(K272&lt;E272,"Part paid","Not due"))))))</f>
        <v/>
      </c>
      <c r="O272" s="50" t="str">
        <f aca="false">IF(AND(D272="",B272="",C272="",E272=""),"",IF(D272="","⚠ Pick supplier",IF(ISNA(MATCH(D272,Suppliers!$B$7:$B$106,0)),"⚠ Supplier not in list",IF(B272="","⚠ Enter bill date",IF(N(E272)&lt;=0,"⚠ Enter amount",IF(AND(C272&lt;&gt;"",COUNTIFS($D$8:$D$507,D272,$C$8:$C$507,C272)&gt;1),"⚠ Bill no. used twice",IF(N(I272)&gt;N(E272),"⚠ Paid more than bill","✔")))))))</f>
        <v/>
      </c>
      <c r="P272" s="9" t="n">
        <f aca="false">IF(D272="",0,MAX(0,N(E272)-N(I272)))</f>
        <v>0</v>
      </c>
      <c r="Q272" s="9" t="n">
        <f aca="false">IF(D272="",0,SUMIFS($P$8:$P$507,$D$8:$D$507,D272,$B$8:$B$507,"&lt;"&amp;B272)+SUMIFS($P$8:P271,$D$8:D271,D272,$B$8:B271,B272))</f>
        <v>0</v>
      </c>
      <c r="R272" s="9" t="n">
        <f aca="false">IF(D272="",0,IFERROR(INDEX(Suppliers!$R$7:$R$106,MATCH(D272,Suppliers!$B$7:$B$106,0)),0))</f>
        <v>0</v>
      </c>
      <c r="S272" s="9" t="str">
        <f aca="false">IF(N(K272)&gt;0,IF(H272="",99999,MIN(H272,IF(ISNUMBER(M272),M272,H272)))+ROW()/100000,"")</f>
        <v/>
      </c>
      <c r="U272" s="9" t="n">
        <f aca="false">IF(N(K272)&gt;0,N(L272),0)</f>
        <v>0</v>
      </c>
      <c r="V272" s="9" t="n">
        <f aca="false">IF(AND(N(K272)&gt;0,ISNUMBER(M272)),M272-Setup!$C$11,99999)</f>
        <v>99999</v>
      </c>
    </row>
    <row r="273" customFormat="false" ht="15" hidden="false" customHeight="false" outlineLevel="0" collapsed="false">
      <c r="A273" s="40" t="str">
        <f aca="false">IF(D273="","",ROW()-7)</f>
        <v/>
      </c>
      <c r="B273" s="79"/>
      <c r="C273" s="75"/>
      <c r="D273" s="76"/>
      <c r="E273" s="80"/>
      <c r="F273" s="79"/>
      <c r="G273" s="76"/>
      <c r="H273" s="54" t="str">
        <f aca="false">IF(OR(D273="",B273=""),"",IF(F273&lt;&gt;"",F273,B273+IFERROR(INDEX(Suppliers!$Q$7:$Q$106,MATCH(D273,Suppliers!$B$7:$B$106,0)),Setup!$C$7)))</f>
        <v/>
      </c>
      <c r="I273" s="46" t="str">
        <f aca="false">IF(OR(D273="",C273=""),IF(D273="","",0),SUMIFS(Payments!$D$8:$D$507,Payments!$C$8:$C$507,D273,Payments!$F$8:$F$507,C273))</f>
        <v/>
      </c>
      <c r="J273" s="46" t="str">
        <f aca="false">IF(D273="","",MIN(P273,MAX(0,R273-Q273)))</f>
        <v/>
      </c>
      <c r="K273" s="47" t="str">
        <f aca="false">IF(D273="","",P273-J273)</f>
        <v/>
      </c>
      <c r="L273" s="55" t="str">
        <f aca="false">IF(OR(D273="",N(K273)&lt;=0,H273=""),"",MAX(0,Setup!$C$11-H273))</f>
        <v/>
      </c>
      <c r="M273" s="54" t="str">
        <f aca="false">IF(OR(D273="",B273=""),"",IF(IFERROR(INDEX(Suppliers!$S$7:$S$106,MATCH(D273,Suppliers!$B$7:$B$106,0)),"")="","–",B273+IFERROR(INDEX(Suppliers!$S$7:$S$106,MATCH(D273,Suppliers!$B$7:$B$106,0)),"")))</f>
        <v/>
      </c>
      <c r="N273" s="56" t="str">
        <f aca="false">IF(D273="","",IF(N(K273)&lt;=0,"Paid",IF(AND(ISNUMBER(M273),Setup!$C$11&gt;M273),"⚠ MSME late",IF(N(L273)&gt;0,"Overdue",IF(N(V273)&lt;=Setup!$C$9,"⚠ MSME due soon",IF(K273&lt;E273,"Part paid","Not due"))))))</f>
        <v/>
      </c>
      <c r="O273" s="50" t="str">
        <f aca="false">IF(AND(D273="",B273="",C273="",E273=""),"",IF(D273="","⚠ Pick supplier",IF(ISNA(MATCH(D273,Suppliers!$B$7:$B$106,0)),"⚠ Supplier not in list",IF(B273="","⚠ Enter bill date",IF(N(E273)&lt;=0,"⚠ Enter amount",IF(AND(C273&lt;&gt;"",COUNTIFS($D$8:$D$507,D273,$C$8:$C$507,C273)&gt;1),"⚠ Bill no. used twice",IF(N(I273)&gt;N(E273),"⚠ Paid more than bill","✔")))))))</f>
        <v/>
      </c>
      <c r="P273" s="9" t="n">
        <f aca="false">IF(D273="",0,MAX(0,N(E273)-N(I273)))</f>
        <v>0</v>
      </c>
      <c r="Q273" s="9" t="n">
        <f aca="false">IF(D273="",0,SUMIFS($P$8:$P$507,$D$8:$D$507,D273,$B$8:$B$507,"&lt;"&amp;B273)+SUMIFS($P$8:P272,$D$8:D272,D273,$B$8:B272,B273))</f>
        <v>0</v>
      </c>
      <c r="R273" s="9" t="n">
        <f aca="false">IF(D273="",0,IFERROR(INDEX(Suppliers!$R$7:$R$106,MATCH(D273,Suppliers!$B$7:$B$106,0)),0))</f>
        <v>0</v>
      </c>
      <c r="S273" s="9" t="str">
        <f aca="false">IF(N(K273)&gt;0,IF(H273="",99999,MIN(H273,IF(ISNUMBER(M273),M273,H273)))+ROW()/100000,"")</f>
        <v/>
      </c>
      <c r="U273" s="9" t="n">
        <f aca="false">IF(N(K273)&gt;0,N(L273),0)</f>
        <v>0</v>
      </c>
      <c r="V273" s="9" t="n">
        <f aca="false">IF(AND(N(K273)&gt;0,ISNUMBER(M273)),M273-Setup!$C$11,99999)</f>
        <v>99999</v>
      </c>
    </row>
    <row r="274" customFormat="false" ht="15" hidden="false" customHeight="false" outlineLevel="0" collapsed="false">
      <c r="A274" s="40" t="str">
        <f aca="false">IF(D274="","",ROW()-7)</f>
        <v/>
      </c>
      <c r="B274" s="79"/>
      <c r="C274" s="75"/>
      <c r="D274" s="76"/>
      <c r="E274" s="80"/>
      <c r="F274" s="79"/>
      <c r="G274" s="76"/>
      <c r="H274" s="54" t="str">
        <f aca="false">IF(OR(D274="",B274=""),"",IF(F274&lt;&gt;"",F274,B274+IFERROR(INDEX(Suppliers!$Q$7:$Q$106,MATCH(D274,Suppliers!$B$7:$B$106,0)),Setup!$C$7)))</f>
        <v/>
      </c>
      <c r="I274" s="46" t="str">
        <f aca="false">IF(OR(D274="",C274=""),IF(D274="","",0),SUMIFS(Payments!$D$8:$D$507,Payments!$C$8:$C$507,D274,Payments!$F$8:$F$507,C274))</f>
        <v/>
      </c>
      <c r="J274" s="46" t="str">
        <f aca="false">IF(D274="","",MIN(P274,MAX(0,R274-Q274)))</f>
        <v/>
      </c>
      <c r="K274" s="47" t="str">
        <f aca="false">IF(D274="","",P274-J274)</f>
        <v/>
      </c>
      <c r="L274" s="55" t="str">
        <f aca="false">IF(OR(D274="",N(K274)&lt;=0,H274=""),"",MAX(0,Setup!$C$11-H274))</f>
        <v/>
      </c>
      <c r="M274" s="54" t="str">
        <f aca="false">IF(OR(D274="",B274=""),"",IF(IFERROR(INDEX(Suppliers!$S$7:$S$106,MATCH(D274,Suppliers!$B$7:$B$106,0)),"")="","–",B274+IFERROR(INDEX(Suppliers!$S$7:$S$106,MATCH(D274,Suppliers!$B$7:$B$106,0)),"")))</f>
        <v/>
      </c>
      <c r="N274" s="56" t="str">
        <f aca="false">IF(D274="","",IF(N(K274)&lt;=0,"Paid",IF(AND(ISNUMBER(M274),Setup!$C$11&gt;M274),"⚠ MSME late",IF(N(L274)&gt;0,"Overdue",IF(N(V274)&lt;=Setup!$C$9,"⚠ MSME due soon",IF(K274&lt;E274,"Part paid","Not due"))))))</f>
        <v/>
      </c>
      <c r="O274" s="50" t="str">
        <f aca="false">IF(AND(D274="",B274="",C274="",E274=""),"",IF(D274="","⚠ Pick supplier",IF(ISNA(MATCH(D274,Suppliers!$B$7:$B$106,0)),"⚠ Supplier not in list",IF(B274="","⚠ Enter bill date",IF(N(E274)&lt;=0,"⚠ Enter amount",IF(AND(C274&lt;&gt;"",COUNTIFS($D$8:$D$507,D274,$C$8:$C$507,C274)&gt;1),"⚠ Bill no. used twice",IF(N(I274)&gt;N(E274),"⚠ Paid more than bill","✔")))))))</f>
        <v/>
      </c>
      <c r="P274" s="9" t="n">
        <f aca="false">IF(D274="",0,MAX(0,N(E274)-N(I274)))</f>
        <v>0</v>
      </c>
      <c r="Q274" s="9" t="n">
        <f aca="false">IF(D274="",0,SUMIFS($P$8:$P$507,$D$8:$D$507,D274,$B$8:$B$507,"&lt;"&amp;B274)+SUMIFS($P$8:P273,$D$8:D273,D274,$B$8:B273,B274))</f>
        <v>0</v>
      </c>
      <c r="R274" s="9" t="n">
        <f aca="false">IF(D274="",0,IFERROR(INDEX(Suppliers!$R$7:$R$106,MATCH(D274,Suppliers!$B$7:$B$106,0)),0))</f>
        <v>0</v>
      </c>
      <c r="S274" s="9" t="str">
        <f aca="false">IF(N(K274)&gt;0,IF(H274="",99999,MIN(H274,IF(ISNUMBER(M274),M274,H274)))+ROW()/100000,"")</f>
        <v/>
      </c>
      <c r="U274" s="9" t="n">
        <f aca="false">IF(N(K274)&gt;0,N(L274),0)</f>
        <v>0</v>
      </c>
      <c r="V274" s="9" t="n">
        <f aca="false">IF(AND(N(K274)&gt;0,ISNUMBER(M274)),M274-Setup!$C$11,99999)</f>
        <v>99999</v>
      </c>
    </row>
    <row r="275" customFormat="false" ht="15" hidden="false" customHeight="false" outlineLevel="0" collapsed="false">
      <c r="A275" s="40" t="str">
        <f aca="false">IF(D275="","",ROW()-7)</f>
        <v/>
      </c>
      <c r="B275" s="79"/>
      <c r="C275" s="75"/>
      <c r="D275" s="76"/>
      <c r="E275" s="80"/>
      <c r="F275" s="79"/>
      <c r="G275" s="76"/>
      <c r="H275" s="54" t="str">
        <f aca="false">IF(OR(D275="",B275=""),"",IF(F275&lt;&gt;"",F275,B275+IFERROR(INDEX(Suppliers!$Q$7:$Q$106,MATCH(D275,Suppliers!$B$7:$B$106,0)),Setup!$C$7)))</f>
        <v/>
      </c>
      <c r="I275" s="46" t="str">
        <f aca="false">IF(OR(D275="",C275=""),IF(D275="","",0),SUMIFS(Payments!$D$8:$D$507,Payments!$C$8:$C$507,D275,Payments!$F$8:$F$507,C275))</f>
        <v/>
      </c>
      <c r="J275" s="46" t="str">
        <f aca="false">IF(D275="","",MIN(P275,MAX(0,R275-Q275)))</f>
        <v/>
      </c>
      <c r="K275" s="47" t="str">
        <f aca="false">IF(D275="","",P275-J275)</f>
        <v/>
      </c>
      <c r="L275" s="55" t="str">
        <f aca="false">IF(OR(D275="",N(K275)&lt;=0,H275=""),"",MAX(0,Setup!$C$11-H275))</f>
        <v/>
      </c>
      <c r="M275" s="54" t="str">
        <f aca="false">IF(OR(D275="",B275=""),"",IF(IFERROR(INDEX(Suppliers!$S$7:$S$106,MATCH(D275,Suppliers!$B$7:$B$106,0)),"")="","–",B275+IFERROR(INDEX(Suppliers!$S$7:$S$106,MATCH(D275,Suppliers!$B$7:$B$106,0)),"")))</f>
        <v/>
      </c>
      <c r="N275" s="56" t="str">
        <f aca="false">IF(D275="","",IF(N(K275)&lt;=0,"Paid",IF(AND(ISNUMBER(M275),Setup!$C$11&gt;M275),"⚠ MSME late",IF(N(L275)&gt;0,"Overdue",IF(N(V275)&lt;=Setup!$C$9,"⚠ MSME due soon",IF(K275&lt;E275,"Part paid","Not due"))))))</f>
        <v/>
      </c>
      <c r="O275" s="50" t="str">
        <f aca="false">IF(AND(D275="",B275="",C275="",E275=""),"",IF(D275="","⚠ Pick supplier",IF(ISNA(MATCH(D275,Suppliers!$B$7:$B$106,0)),"⚠ Supplier not in list",IF(B275="","⚠ Enter bill date",IF(N(E275)&lt;=0,"⚠ Enter amount",IF(AND(C275&lt;&gt;"",COUNTIFS($D$8:$D$507,D275,$C$8:$C$507,C275)&gt;1),"⚠ Bill no. used twice",IF(N(I275)&gt;N(E275),"⚠ Paid more than bill","✔")))))))</f>
        <v/>
      </c>
      <c r="P275" s="9" t="n">
        <f aca="false">IF(D275="",0,MAX(0,N(E275)-N(I275)))</f>
        <v>0</v>
      </c>
      <c r="Q275" s="9" t="n">
        <f aca="false">IF(D275="",0,SUMIFS($P$8:$P$507,$D$8:$D$507,D275,$B$8:$B$507,"&lt;"&amp;B275)+SUMIFS($P$8:P274,$D$8:D274,D275,$B$8:B274,B275))</f>
        <v>0</v>
      </c>
      <c r="R275" s="9" t="n">
        <f aca="false">IF(D275="",0,IFERROR(INDEX(Suppliers!$R$7:$R$106,MATCH(D275,Suppliers!$B$7:$B$106,0)),0))</f>
        <v>0</v>
      </c>
      <c r="S275" s="9" t="str">
        <f aca="false">IF(N(K275)&gt;0,IF(H275="",99999,MIN(H275,IF(ISNUMBER(M275),M275,H275)))+ROW()/100000,"")</f>
        <v/>
      </c>
      <c r="U275" s="9" t="n">
        <f aca="false">IF(N(K275)&gt;0,N(L275),0)</f>
        <v>0</v>
      </c>
      <c r="V275" s="9" t="n">
        <f aca="false">IF(AND(N(K275)&gt;0,ISNUMBER(M275)),M275-Setup!$C$11,99999)</f>
        <v>99999</v>
      </c>
    </row>
    <row r="276" customFormat="false" ht="15" hidden="false" customHeight="false" outlineLevel="0" collapsed="false">
      <c r="A276" s="40" t="str">
        <f aca="false">IF(D276="","",ROW()-7)</f>
        <v/>
      </c>
      <c r="B276" s="79"/>
      <c r="C276" s="75"/>
      <c r="D276" s="76"/>
      <c r="E276" s="80"/>
      <c r="F276" s="79"/>
      <c r="G276" s="76"/>
      <c r="H276" s="54" t="str">
        <f aca="false">IF(OR(D276="",B276=""),"",IF(F276&lt;&gt;"",F276,B276+IFERROR(INDEX(Suppliers!$Q$7:$Q$106,MATCH(D276,Suppliers!$B$7:$B$106,0)),Setup!$C$7)))</f>
        <v/>
      </c>
      <c r="I276" s="46" t="str">
        <f aca="false">IF(OR(D276="",C276=""),IF(D276="","",0),SUMIFS(Payments!$D$8:$D$507,Payments!$C$8:$C$507,D276,Payments!$F$8:$F$507,C276))</f>
        <v/>
      </c>
      <c r="J276" s="46" t="str">
        <f aca="false">IF(D276="","",MIN(P276,MAX(0,R276-Q276)))</f>
        <v/>
      </c>
      <c r="K276" s="47" t="str">
        <f aca="false">IF(D276="","",P276-J276)</f>
        <v/>
      </c>
      <c r="L276" s="55" t="str">
        <f aca="false">IF(OR(D276="",N(K276)&lt;=0,H276=""),"",MAX(0,Setup!$C$11-H276))</f>
        <v/>
      </c>
      <c r="M276" s="54" t="str">
        <f aca="false">IF(OR(D276="",B276=""),"",IF(IFERROR(INDEX(Suppliers!$S$7:$S$106,MATCH(D276,Suppliers!$B$7:$B$106,0)),"")="","–",B276+IFERROR(INDEX(Suppliers!$S$7:$S$106,MATCH(D276,Suppliers!$B$7:$B$106,0)),"")))</f>
        <v/>
      </c>
      <c r="N276" s="56" t="str">
        <f aca="false">IF(D276="","",IF(N(K276)&lt;=0,"Paid",IF(AND(ISNUMBER(M276),Setup!$C$11&gt;M276),"⚠ MSME late",IF(N(L276)&gt;0,"Overdue",IF(N(V276)&lt;=Setup!$C$9,"⚠ MSME due soon",IF(K276&lt;E276,"Part paid","Not due"))))))</f>
        <v/>
      </c>
      <c r="O276" s="50" t="str">
        <f aca="false">IF(AND(D276="",B276="",C276="",E276=""),"",IF(D276="","⚠ Pick supplier",IF(ISNA(MATCH(D276,Suppliers!$B$7:$B$106,0)),"⚠ Supplier not in list",IF(B276="","⚠ Enter bill date",IF(N(E276)&lt;=0,"⚠ Enter amount",IF(AND(C276&lt;&gt;"",COUNTIFS($D$8:$D$507,D276,$C$8:$C$507,C276)&gt;1),"⚠ Bill no. used twice",IF(N(I276)&gt;N(E276),"⚠ Paid more than bill","✔")))))))</f>
        <v/>
      </c>
      <c r="P276" s="9" t="n">
        <f aca="false">IF(D276="",0,MAX(0,N(E276)-N(I276)))</f>
        <v>0</v>
      </c>
      <c r="Q276" s="9" t="n">
        <f aca="false">IF(D276="",0,SUMIFS($P$8:$P$507,$D$8:$D$507,D276,$B$8:$B$507,"&lt;"&amp;B276)+SUMIFS($P$8:P275,$D$8:D275,D276,$B$8:B275,B276))</f>
        <v>0</v>
      </c>
      <c r="R276" s="9" t="n">
        <f aca="false">IF(D276="",0,IFERROR(INDEX(Suppliers!$R$7:$R$106,MATCH(D276,Suppliers!$B$7:$B$106,0)),0))</f>
        <v>0</v>
      </c>
      <c r="S276" s="9" t="str">
        <f aca="false">IF(N(K276)&gt;0,IF(H276="",99999,MIN(H276,IF(ISNUMBER(M276),M276,H276)))+ROW()/100000,"")</f>
        <v/>
      </c>
      <c r="U276" s="9" t="n">
        <f aca="false">IF(N(K276)&gt;0,N(L276),0)</f>
        <v>0</v>
      </c>
      <c r="V276" s="9" t="n">
        <f aca="false">IF(AND(N(K276)&gt;0,ISNUMBER(M276)),M276-Setup!$C$11,99999)</f>
        <v>99999</v>
      </c>
    </row>
    <row r="277" customFormat="false" ht="15" hidden="false" customHeight="false" outlineLevel="0" collapsed="false">
      <c r="A277" s="40" t="str">
        <f aca="false">IF(D277="","",ROW()-7)</f>
        <v/>
      </c>
      <c r="B277" s="79"/>
      <c r="C277" s="75"/>
      <c r="D277" s="76"/>
      <c r="E277" s="80"/>
      <c r="F277" s="79"/>
      <c r="G277" s="76"/>
      <c r="H277" s="54" t="str">
        <f aca="false">IF(OR(D277="",B277=""),"",IF(F277&lt;&gt;"",F277,B277+IFERROR(INDEX(Suppliers!$Q$7:$Q$106,MATCH(D277,Suppliers!$B$7:$B$106,0)),Setup!$C$7)))</f>
        <v/>
      </c>
      <c r="I277" s="46" t="str">
        <f aca="false">IF(OR(D277="",C277=""),IF(D277="","",0),SUMIFS(Payments!$D$8:$D$507,Payments!$C$8:$C$507,D277,Payments!$F$8:$F$507,C277))</f>
        <v/>
      </c>
      <c r="J277" s="46" t="str">
        <f aca="false">IF(D277="","",MIN(P277,MAX(0,R277-Q277)))</f>
        <v/>
      </c>
      <c r="K277" s="47" t="str">
        <f aca="false">IF(D277="","",P277-J277)</f>
        <v/>
      </c>
      <c r="L277" s="55" t="str">
        <f aca="false">IF(OR(D277="",N(K277)&lt;=0,H277=""),"",MAX(0,Setup!$C$11-H277))</f>
        <v/>
      </c>
      <c r="M277" s="54" t="str">
        <f aca="false">IF(OR(D277="",B277=""),"",IF(IFERROR(INDEX(Suppliers!$S$7:$S$106,MATCH(D277,Suppliers!$B$7:$B$106,0)),"")="","–",B277+IFERROR(INDEX(Suppliers!$S$7:$S$106,MATCH(D277,Suppliers!$B$7:$B$106,0)),"")))</f>
        <v/>
      </c>
      <c r="N277" s="56" t="str">
        <f aca="false">IF(D277="","",IF(N(K277)&lt;=0,"Paid",IF(AND(ISNUMBER(M277),Setup!$C$11&gt;M277),"⚠ MSME late",IF(N(L277)&gt;0,"Overdue",IF(N(V277)&lt;=Setup!$C$9,"⚠ MSME due soon",IF(K277&lt;E277,"Part paid","Not due"))))))</f>
        <v/>
      </c>
      <c r="O277" s="50" t="str">
        <f aca="false">IF(AND(D277="",B277="",C277="",E277=""),"",IF(D277="","⚠ Pick supplier",IF(ISNA(MATCH(D277,Suppliers!$B$7:$B$106,0)),"⚠ Supplier not in list",IF(B277="","⚠ Enter bill date",IF(N(E277)&lt;=0,"⚠ Enter amount",IF(AND(C277&lt;&gt;"",COUNTIFS($D$8:$D$507,D277,$C$8:$C$507,C277)&gt;1),"⚠ Bill no. used twice",IF(N(I277)&gt;N(E277),"⚠ Paid more than bill","✔")))))))</f>
        <v/>
      </c>
      <c r="P277" s="9" t="n">
        <f aca="false">IF(D277="",0,MAX(0,N(E277)-N(I277)))</f>
        <v>0</v>
      </c>
      <c r="Q277" s="9" t="n">
        <f aca="false">IF(D277="",0,SUMIFS($P$8:$P$507,$D$8:$D$507,D277,$B$8:$B$507,"&lt;"&amp;B277)+SUMIFS($P$8:P276,$D$8:D276,D277,$B$8:B276,B277))</f>
        <v>0</v>
      </c>
      <c r="R277" s="9" t="n">
        <f aca="false">IF(D277="",0,IFERROR(INDEX(Suppliers!$R$7:$R$106,MATCH(D277,Suppliers!$B$7:$B$106,0)),0))</f>
        <v>0</v>
      </c>
      <c r="S277" s="9" t="str">
        <f aca="false">IF(N(K277)&gt;0,IF(H277="",99999,MIN(H277,IF(ISNUMBER(M277),M277,H277)))+ROW()/100000,"")</f>
        <v/>
      </c>
      <c r="U277" s="9" t="n">
        <f aca="false">IF(N(K277)&gt;0,N(L277),0)</f>
        <v>0</v>
      </c>
      <c r="V277" s="9" t="n">
        <f aca="false">IF(AND(N(K277)&gt;0,ISNUMBER(M277)),M277-Setup!$C$11,99999)</f>
        <v>99999</v>
      </c>
    </row>
    <row r="278" customFormat="false" ht="15" hidden="false" customHeight="false" outlineLevel="0" collapsed="false">
      <c r="A278" s="40" t="str">
        <f aca="false">IF(D278="","",ROW()-7)</f>
        <v/>
      </c>
      <c r="B278" s="79"/>
      <c r="C278" s="75"/>
      <c r="D278" s="76"/>
      <c r="E278" s="80"/>
      <c r="F278" s="79"/>
      <c r="G278" s="76"/>
      <c r="H278" s="54" t="str">
        <f aca="false">IF(OR(D278="",B278=""),"",IF(F278&lt;&gt;"",F278,B278+IFERROR(INDEX(Suppliers!$Q$7:$Q$106,MATCH(D278,Suppliers!$B$7:$B$106,0)),Setup!$C$7)))</f>
        <v/>
      </c>
      <c r="I278" s="46" t="str">
        <f aca="false">IF(OR(D278="",C278=""),IF(D278="","",0),SUMIFS(Payments!$D$8:$D$507,Payments!$C$8:$C$507,D278,Payments!$F$8:$F$507,C278))</f>
        <v/>
      </c>
      <c r="J278" s="46" t="str">
        <f aca="false">IF(D278="","",MIN(P278,MAX(0,R278-Q278)))</f>
        <v/>
      </c>
      <c r="K278" s="47" t="str">
        <f aca="false">IF(D278="","",P278-J278)</f>
        <v/>
      </c>
      <c r="L278" s="55" t="str">
        <f aca="false">IF(OR(D278="",N(K278)&lt;=0,H278=""),"",MAX(0,Setup!$C$11-H278))</f>
        <v/>
      </c>
      <c r="M278" s="54" t="str">
        <f aca="false">IF(OR(D278="",B278=""),"",IF(IFERROR(INDEX(Suppliers!$S$7:$S$106,MATCH(D278,Suppliers!$B$7:$B$106,0)),"")="","–",B278+IFERROR(INDEX(Suppliers!$S$7:$S$106,MATCH(D278,Suppliers!$B$7:$B$106,0)),"")))</f>
        <v/>
      </c>
      <c r="N278" s="56" t="str">
        <f aca="false">IF(D278="","",IF(N(K278)&lt;=0,"Paid",IF(AND(ISNUMBER(M278),Setup!$C$11&gt;M278),"⚠ MSME late",IF(N(L278)&gt;0,"Overdue",IF(N(V278)&lt;=Setup!$C$9,"⚠ MSME due soon",IF(K278&lt;E278,"Part paid","Not due"))))))</f>
        <v/>
      </c>
      <c r="O278" s="50" t="str">
        <f aca="false">IF(AND(D278="",B278="",C278="",E278=""),"",IF(D278="","⚠ Pick supplier",IF(ISNA(MATCH(D278,Suppliers!$B$7:$B$106,0)),"⚠ Supplier not in list",IF(B278="","⚠ Enter bill date",IF(N(E278)&lt;=0,"⚠ Enter amount",IF(AND(C278&lt;&gt;"",COUNTIFS($D$8:$D$507,D278,$C$8:$C$507,C278)&gt;1),"⚠ Bill no. used twice",IF(N(I278)&gt;N(E278),"⚠ Paid more than bill","✔")))))))</f>
        <v/>
      </c>
      <c r="P278" s="9" t="n">
        <f aca="false">IF(D278="",0,MAX(0,N(E278)-N(I278)))</f>
        <v>0</v>
      </c>
      <c r="Q278" s="9" t="n">
        <f aca="false">IF(D278="",0,SUMIFS($P$8:$P$507,$D$8:$D$507,D278,$B$8:$B$507,"&lt;"&amp;B278)+SUMIFS($P$8:P277,$D$8:D277,D278,$B$8:B277,B278))</f>
        <v>0</v>
      </c>
      <c r="R278" s="9" t="n">
        <f aca="false">IF(D278="",0,IFERROR(INDEX(Suppliers!$R$7:$R$106,MATCH(D278,Suppliers!$B$7:$B$106,0)),0))</f>
        <v>0</v>
      </c>
      <c r="S278" s="9" t="str">
        <f aca="false">IF(N(K278)&gt;0,IF(H278="",99999,MIN(H278,IF(ISNUMBER(M278),M278,H278)))+ROW()/100000,"")</f>
        <v/>
      </c>
      <c r="U278" s="9" t="n">
        <f aca="false">IF(N(K278)&gt;0,N(L278),0)</f>
        <v>0</v>
      </c>
      <c r="V278" s="9" t="n">
        <f aca="false">IF(AND(N(K278)&gt;0,ISNUMBER(M278)),M278-Setup!$C$11,99999)</f>
        <v>99999</v>
      </c>
    </row>
    <row r="279" customFormat="false" ht="15" hidden="false" customHeight="false" outlineLevel="0" collapsed="false">
      <c r="A279" s="40" t="str">
        <f aca="false">IF(D279="","",ROW()-7)</f>
        <v/>
      </c>
      <c r="B279" s="79"/>
      <c r="C279" s="75"/>
      <c r="D279" s="76"/>
      <c r="E279" s="80"/>
      <c r="F279" s="79"/>
      <c r="G279" s="76"/>
      <c r="H279" s="54" t="str">
        <f aca="false">IF(OR(D279="",B279=""),"",IF(F279&lt;&gt;"",F279,B279+IFERROR(INDEX(Suppliers!$Q$7:$Q$106,MATCH(D279,Suppliers!$B$7:$B$106,0)),Setup!$C$7)))</f>
        <v/>
      </c>
      <c r="I279" s="46" t="str">
        <f aca="false">IF(OR(D279="",C279=""),IF(D279="","",0),SUMIFS(Payments!$D$8:$D$507,Payments!$C$8:$C$507,D279,Payments!$F$8:$F$507,C279))</f>
        <v/>
      </c>
      <c r="J279" s="46" t="str">
        <f aca="false">IF(D279="","",MIN(P279,MAX(0,R279-Q279)))</f>
        <v/>
      </c>
      <c r="K279" s="47" t="str">
        <f aca="false">IF(D279="","",P279-J279)</f>
        <v/>
      </c>
      <c r="L279" s="55" t="str">
        <f aca="false">IF(OR(D279="",N(K279)&lt;=0,H279=""),"",MAX(0,Setup!$C$11-H279))</f>
        <v/>
      </c>
      <c r="M279" s="54" t="str">
        <f aca="false">IF(OR(D279="",B279=""),"",IF(IFERROR(INDEX(Suppliers!$S$7:$S$106,MATCH(D279,Suppliers!$B$7:$B$106,0)),"")="","–",B279+IFERROR(INDEX(Suppliers!$S$7:$S$106,MATCH(D279,Suppliers!$B$7:$B$106,0)),"")))</f>
        <v/>
      </c>
      <c r="N279" s="56" t="str">
        <f aca="false">IF(D279="","",IF(N(K279)&lt;=0,"Paid",IF(AND(ISNUMBER(M279),Setup!$C$11&gt;M279),"⚠ MSME late",IF(N(L279)&gt;0,"Overdue",IF(N(V279)&lt;=Setup!$C$9,"⚠ MSME due soon",IF(K279&lt;E279,"Part paid","Not due"))))))</f>
        <v/>
      </c>
      <c r="O279" s="50" t="str">
        <f aca="false">IF(AND(D279="",B279="",C279="",E279=""),"",IF(D279="","⚠ Pick supplier",IF(ISNA(MATCH(D279,Suppliers!$B$7:$B$106,0)),"⚠ Supplier not in list",IF(B279="","⚠ Enter bill date",IF(N(E279)&lt;=0,"⚠ Enter amount",IF(AND(C279&lt;&gt;"",COUNTIFS($D$8:$D$507,D279,$C$8:$C$507,C279)&gt;1),"⚠ Bill no. used twice",IF(N(I279)&gt;N(E279),"⚠ Paid more than bill","✔")))))))</f>
        <v/>
      </c>
      <c r="P279" s="9" t="n">
        <f aca="false">IF(D279="",0,MAX(0,N(E279)-N(I279)))</f>
        <v>0</v>
      </c>
      <c r="Q279" s="9" t="n">
        <f aca="false">IF(D279="",0,SUMIFS($P$8:$P$507,$D$8:$D$507,D279,$B$8:$B$507,"&lt;"&amp;B279)+SUMIFS($P$8:P278,$D$8:D278,D279,$B$8:B278,B279))</f>
        <v>0</v>
      </c>
      <c r="R279" s="9" t="n">
        <f aca="false">IF(D279="",0,IFERROR(INDEX(Suppliers!$R$7:$R$106,MATCH(D279,Suppliers!$B$7:$B$106,0)),0))</f>
        <v>0</v>
      </c>
      <c r="S279" s="9" t="str">
        <f aca="false">IF(N(K279)&gt;0,IF(H279="",99999,MIN(H279,IF(ISNUMBER(M279),M279,H279)))+ROW()/100000,"")</f>
        <v/>
      </c>
      <c r="U279" s="9" t="n">
        <f aca="false">IF(N(K279)&gt;0,N(L279),0)</f>
        <v>0</v>
      </c>
      <c r="V279" s="9" t="n">
        <f aca="false">IF(AND(N(K279)&gt;0,ISNUMBER(M279)),M279-Setup!$C$11,99999)</f>
        <v>99999</v>
      </c>
    </row>
    <row r="280" customFormat="false" ht="15" hidden="false" customHeight="false" outlineLevel="0" collapsed="false">
      <c r="A280" s="40" t="str">
        <f aca="false">IF(D280="","",ROW()-7)</f>
        <v/>
      </c>
      <c r="B280" s="79"/>
      <c r="C280" s="75"/>
      <c r="D280" s="76"/>
      <c r="E280" s="80"/>
      <c r="F280" s="79"/>
      <c r="G280" s="76"/>
      <c r="H280" s="54" t="str">
        <f aca="false">IF(OR(D280="",B280=""),"",IF(F280&lt;&gt;"",F280,B280+IFERROR(INDEX(Suppliers!$Q$7:$Q$106,MATCH(D280,Suppliers!$B$7:$B$106,0)),Setup!$C$7)))</f>
        <v/>
      </c>
      <c r="I280" s="46" t="str">
        <f aca="false">IF(OR(D280="",C280=""),IF(D280="","",0),SUMIFS(Payments!$D$8:$D$507,Payments!$C$8:$C$507,D280,Payments!$F$8:$F$507,C280))</f>
        <v/>
      </c>
      <c r="J280" s="46" t="str">
        <f aca="false">IF(D280="","",MIN(P280,MAX(0,R280-Q280)))</f>
        <v/>
      </c>
      <c r="K280" s="47" t="str">
        <f aca="false">IF(D280="","",P280-J280)</f>
        <v/>
      </c>
      <c r="L280" s="55" t="str">
        <f aca="false">IF(OR(D280="",N(K280)&lt;=0,H280=""),"",MAX(0,Setup!$C$11-H280))</f>
        <v/>
      </c>
      <c r="M280" s="54" t="str">
        <f aca="false">IF(OR(D280="",B280=""),"",IF(IFERROR(INDEX(Suppliers!$S$7:$S$106,MATCH(D280,Suppliers!$B$7:$B$106,0)),"")="","–",B280+IFERROR(INDEX(Suppliers!$S$7:$S$106,MATCH(D280,Suppliers!$B$7:$B$106,0)),"")))</f>
        <v/>
      </c>
      <c r="N280" s="56" t="str">
        <f aca="false">IF(D280="","",IF(N(K280)&lt;=0,"Paid",IF(AND(ISNUMBER(M280),Setup!$C$11&gt;M280),"⚠ MSME late",IF(N(L280)&gt;0,"Overdue",IF(N(V280)&lt;=Setup!$C$9,"⚠ MSME due soon",IF(K280&lt;E280,"Part paid","Not due"))))))</f>
        <v/>
      </c>
      <c r="O280" s="50" t="str">
        <f aca="false">IF(AND(D280="",B280="",C280="",E280=""),"",IF(D280="","⚠ Pick supplier",IF(ISNA(MATCH(D280,Suppliers!$B$7:$B$106,0)),"⚠ Supplier not in list",IF(B280="","⚠ Enter bill date",IF(N(E280)&lt;=0,"⚠ Enter amount",IF(AND(C280&lt;&gt;"",COUNTIFS($D$8:$D$507,D280,$C$8:$C$507,C280)&gt;1),"⚠ Bill no. used twice",IF(N(I280)&gt;N(E280),"⚠ Paid more than bill","✔")))))))</f>
        <v/>
      </c>
      <c r="P280" s="9" t="n">
        <f aca="false">IF(D280="",0,MAX(0,N(E280)-N(I280)))</f>
        <v>0</v>
      </c>
      <c r="Q280" s="9" t="n">
        <f aca="false">IF(D280="",0,SUMIFS($P$8:$P$507,$D$8:$D$507,D280,$B$8:$B$507,"&lt;"&amp;B280)+SUMIFS($P$8:P279,$D$8:D279,D280,$B$8:B279,B280))</f>
        <v>0</v>
      </c>
      <c r="R280" s="9" t="n">
        <f aca="false">IF(D280="",0,IFERROR(INDEX(Suppliers!$R$7:$R$106,MATCH(D280,Suppliers!$B$7:$B$106,0)),0))</f>
        <v>0</v>
      </c>
      <c r="S280" s="9" t="str">
        <f aca="false">IF(N(K280)&gt;0,IF(H280="",99999,MIN(H280,IF(ISNUMBER(M280),M280,H280)))+ROW()/100000,"")</f>
        <v/>
      </c>
      <c r="U280" s="9" t="n">
        <f aca="false">IF(N(K280)&gt;0,N(L280),0)</f>
        <v>0</v>
      </c>
      <c r="V280" s="9" t="n">
        <f aca="false">IF(AND(N(K280)&gt;0,ISNUMBER(M280)),M280-Setup!$C$11,99999)</f>
        <v>99999</v>
      </c>
    </row>
    <row r="281" customFormat="false" ht="15" hidden="false" customHeight="false" outlineLevel="0" collapsed="false">
      <c r="A281" s="40" t="str">
        <f aca="false">IF(D281="","",ROW()-7)</f>
        <v/>
      </c>
      <c r="B281" s="79"/>
      <c r="C281" s="75"/>
      <c r="D281" s="76"/>
      <c r="E281" s="80"/>
      <c r="F281" s="79"/>
      <c r="G281" s="76"/>
      <c r="H281" s="54" t="str">
        <f aca="false">IF(OR(D281="",B281=""),"",IF(F281&lt;&gt;"",F281,B281+IFERROR(INDEX(Suppliers!$Q$7:$Q$106,MATCH(D281,Suppliers!$B$7:$B$106,0)),Setup!$C$7)))</f>
        <v/>
      </c>
      <c r="I281" s="46" t="str">
        <f aca="false">IF(OR(D281="",C281=""),IF(D281="","",0),SUMIFS(Payments!$D$8:$D$507,Payments!$C$8:$C$507,D281,Payments!$F$8:$F$507,C281))</f>
        <v/>
      </c>
      <c r="J281" s="46" t="str">
        <f aca="false">IF(D281="","",MIN(P281,MAX(0,R281-Q281)))</f>
        <v/>
      </c>
      <c r="K281" s="47" t="str">
        <f aca="false">IF(D281="","",P281-J281)</f>
        <v/>
      </c>
      <c r="L281" s="55" t="str">
        <f aca="false">IF(OR(D281="",N(K281)&lt;=0,H281=""),"",MAX(0,Setup!$C$11-H281))</f>
        <v/>
      </c>
      <c r="M281" s="54" t="str">
        <f aca="false">IF(OR(D281="",B281=""),"",IF(IFERROR(INDEX(Suppliers!$S$7:$S$106,MATCH(D281,Suppliers!$B$7:$B$106,0)),"")="","–",B281+IFERROR(INDEX(Suppliers!$S$7:$S$106,MATCH(D281,Suppliers!$B$7:$B$106,0)),"")))</f>
        <v/>
      </c>
      <c r="N281" s="56" t="str">
        <f aca="false">IF(D281="","",IF(N(K281)&lt;=0,"Paid",IF(AND(ISNUMBER(M281),Setup!$C$11&gt;M281),"⚠ MSME late",IF(N(L281)&gt;0,"Overdue",IF(N(V281)&lt;=Setup!$C$9,"⚠ MSME due soon",IF(K281&lt;E281,"Part paid","Not due"))))))</f>
        <v/>
      </c>
      <c r="O281" s="50" t="str">
        <f aca="false">IF(AND(D281="",B281="",C281="",E281=""),"",IF(D281="","⚠ Pick supplier",IF(ISNA(MATCH(D281,Suppliers!$B$7:$B$106,0)),"⚠ Supplier not in list",IF(B281="","⚠ Enter bill date",IF(N(E281)&lt;=0,"⚠ Enter amount",IF(AND(C281&lt;&gt;"",COUNTIFS($D$8:$D$507,D281,$C$8:$C$507,C281)&gt;1),"⚠ Bill no. used twice",IF(N(I281)&gt;N(E281),"⚠ Paid more than bill","✔")))))))</f>
        <v/>
      </c>
      <c r="P281" s="9" t="n">
        <f aca="false">IF(D281="",0,MAX(0,N(E281)-N(I281)))</f>
        <v>0</v>
      </c>
      <c r="Q281" s="9" t="n">
        <f aca="false">IF(D281="",0,SUMIFS($P$8:$P$507,$D$8:$D$507,D281,$B$8:$B$507,"&lt;"&amp;B281)+SUMIFS($P$8:P280,$D$8:D280,D281,$B$8:B280,B281))</f>
        <v>0</v>
      </c>
      <c r="R281" s="9" t="n">
        <f aca="false">IF(D281="",0,IFERROR(INDEX(Suppliers!$R$7:$R$106,MATCH(D281,Suppliers!$B$7:$B$106,0)),0))</f>
        <v>0</v>
      </c>
      <c r="S281" s="9" t="str">
        <f aca="false">IF(N(K281)&gt;0,IF(H281="",99999,MIN(H281,IF(ISNUMBER(M281),M281,H281)))+ROW()/100000,"")</f>
        <v/>
      </c>
      <c r="U281" s="9" t="n">
        <f aca="false">IF(N(K281)&gt;0,N(L281),0)</f>
        <v>0</v>
      </c>
      <c r="V281" s="9" t="n">
        <f aca="false">IF(AND(N(K281)&gt;0,ISNUMBER(M281)),M281-Setup!$C$11,99999)</f>
        <v>99999</v>
      </c>
    </row>
    <row r="282" customFormat="false" ht="15" hidden="false" customHeight="false" outlineLevel="0" collapsed="false">
      <c r="A282" s="40" t="str">
        <f aca="false">IF(D282="","",ROW()-7)</f>
        <v/>
      </c>
      <c r="B282" s="79"/>
      <c r="C282" s="75"/>
      <c r="D282" s="76"/>
      <c r="E282" s="80"/>
      <c r="F282" s="79"/>
      <c r="G282" s="76"/>
      <c r="H282" s="54" t="str">
        <f aca="false">IF(OR(D282="",B282=""),"",IF(F282&lt;&gt;"",F282,B282+IFERROR(INDEX(Suppliers!$Q$7:$Q$106,MATCH(D282,Suppliers!$B$7:$B$106,0)),Setup!$C$7)))</f>
        <v/>
      </c>
      <c r="I282" s="46" t="str">
        <f aca="false">IF(OR(D282="",C282=""),IF(D282="","",0),SUMIFS(Payments!$D$8:$D$507,Payments!$C$8:$C$507,D282,Payments!$F$8:$F$507,C282))</f>
        <v/>
      </c>
      <c r="J282" s="46" t="str">
        <f aca="false">IF(D282="","",MIN(P282,MAX(0,R282-Q282)))</f>
        <v/>
      </c>
      <c r="K282" s="47" t="str">
        <f aca="false">IF(D282="","",P282-J282)</f>
        <v/>
      </c>
      <c r="L282" s="55" t="str">
        <f aca="false">IF(OR(D282="",N(K282)&lt;=0,H282=""),"",MAX(0,Setup!$C$11-H282))</f>
        <v/>
      </c>
      <c r="M282" s="54" t="str">
        <f aca="false">IF(OR(D282="",B282=""),"",IF(IFERROR(INDEX(Suppliers!$S$7:$S$106,MATCH(D282,Suppliers!$B$7:$B$106,0)),"")="","–",B282+IFERROR(INDEX(Suppliers!$S$7:$S$106,MATCH(D282,Suppliers!$B$7:$B$106,0)),"")))</f>
        <v/>
      </c>
      <c r="N282" s="56" t="str">
        <f aca="false">IF(D282="","",IF(N(K282)&lt;=0,"Paid",IF(AND(ISNUMBER(M282),Setup!$C$11&gt;M282),"⚠ MSME late",IF(N(L282)&gt;0,"Overdue",IF(N(V282)&lt;=Setup!$C$9,"⚠ MSME due soon",IF(K282&lt;E282,"Part paid","Not due"))))))</f>
        <v/>
      </c>
      <c r="O282" s="50" t="str">
        <f aca="false">IF(AND(D282="",B282="",C282="",E282=""),"",IF(D282="","⚠ Pick supplier",IF(ISNA(MATCH(D282,Suppliers!$B$7:$B$106,0)),"⚠ Supplier not in list",IF(B282="","⚠ Enter bill date",IF(N(E282)&lt;=0,"⚠ Enter amount",IF(AND(C282&lt;&gt;"",COUNTIFS($D$8:$D$507,D282,$C$8:$C$507,C282)&gt;1),"⚠ Bill no. used twice",IF(N(I282)&gt;N(E282),"⚠ Paid more than bill","✔")))))))</f>
        <v/>
      </c>
      <c r="P282" s="9" t="n">
        <f aca="false">IF(D282="",0,MAX(0,N(E282)-N(I282)))</f>
        <v>0</v>
      </c>
      <c r="Q282" s="9" t="n">
        <f aca="false">IF(D282="",0,SUMIFS($P$8:$P$507,$D$8:$D$507,D282,$B$8:$B$507,"&lt;"&amp;B282)+SUMIFS($P$8:P281,$D$8:D281,D282,$B$8:B281,B282))</f>
        <v>0</v>
      </c>
      <c r="R282" s="9" t="n">
        <f aca="false">IF(D282="",0,IFERROR(INDEX(Suppliers!$R$7:$R$106,MATCH(D282,Suppliers!$B$7:$B$106,0)),0))</f>
        <v>0</v>
      </c>
      <c r="S282" s="9" t="str">
        <f aca="false">IF(N(K282)&gt;0,IF(H282="",99999,MIN(H282,IF(ISNUMBER(M282),M282,H282)))+ROW()/100000,"")</f>
        <v/>
      </c>
      <c r="U282" s="9" t="n">
        <f aca="false">IF(N(K282)&gt;0,N(L282),0)</f>
        <v>0</v>
      </c>
      <c r="V282" s="9" t="n">
        <f aca="false">IF(AND(N(K282)&gt;0,ISNUMBER(M282)),M282-Setup!$C$11,99999)</f>
        <v>99999</v>
      </c>
    </row>
    <row r="283" customFormat="false" ht="15" hidden="false" customHeight="false" outlineLevel="0" collapsed="false">
      <c r="A283" s="40" t="str">
        <f aca="false">IF(D283="","",ROW()-7)</f>
        <v/>
      </c>
      <c r="B283" s="79"/>
      <c r="C283" s="75"/>
      <c r="D283" s="76"/>
      <c r="E283" s="80"/>
      <c r="F283" s="79"/>
      <c r="G283" s="76"/>
      <c r="H283" s="54" t="str">
        <f aca="false">IF(OR(D283="",B283=""),"",IF(F283&lt;&gt;"",F283,B283+IFERROR(INDEX(Suppliers!$Q$7:$Q$106,MATCH(D283,Suppliers!$B$7:$B$106,0)),Setup!$C$7)))</f>
        <v/>
      </c>
      <c r="I283" s="46" t="str">
        <f aca="false">IF(OR(D283="",C283=""),IF(D283="","",0),SUMIFS(Payments!$D$8:$D$507,Payments!$C$8:$C$507,D283,Payments!$F$8:$F$507,C283))</f>
        <v/>
      </c>
      <c r="J283" s="46" t="str">
        <f aca="false">IF(D283="","",MIN(P283,MAX(0,R283-Q283)))</f>
        <v/>
      </c>
      <c r="K283" s="47" t="str">
        <f aca="false">IF(D283="","",P283-J283)</f>
        <v/>
      </c>
      <c r="L283" s="55" t="str">
        <f aca="false">IF(OR(D283="",N(K283)&lt;=0,H283=""),"",MAX(0,Setup!$C$11-H283))</f>
        <v/>
      </c>
      <c r="M283" s="54" t="str">
        <f aca="false">IF(OR(D283="",B283=""),"",IF(IFERROR(INDEX(Suppliers!$S$7:$S$106,MATCH(D283,Suppliers!$B$7:$B$106,0)),"")="","–",B283+IFERROR(INDEX(Suppliers!$S$7:$S$106,MATCH(D283,Suppliers!$B$7:$B$106,0)),"")))</f>
        <v/>
      </c>
      <c r="N283" s="56" t="str">
        <f aca="false">IF(D283="","",IF(N(K283)&lt;=0,"Paid",IF(AND(ISNUMBER(M283),Setup!$C$11&gt;M283),"⚠ MSME late",IF(N(L283)&gt;0,"Overdue",IF(N(V283)&lt;=Setup!$C$9,"⚠ MSME due soon",IF(K283&lt;E283,"Part paid","Not due"))))))</f>
        <v/>
      </c>
      <c r="O283" s="50" t="str">
        <f aca="false">IF(AND(D283="",B283="",C283="",E283=""),"",IF(D283="","⚠ Pick supplier",IF(ISNA(MATCH(D283,Suppliers!$B$7:$B$106,0)),"⚠ Supplier not in list",IF(B283="","⚠ Enter bill date",IF(N(E283)&lt;=0,"⚠ Enter amount",IF(AND(C283&lt;&gt;"",COUNTIFS($D$8:$D$507,D283,$C$8:$C$507,C283)&gt;1),"⚠ Bill no. used twice",IF(N(I283)&gt;N(E283),"⚠ Paid more than bill","✔")))))))</f>
        <v/>
      </c>
      <c r="P283" s="9" t="n">
        <f aca="false">IF(D283="",0,MAX(0,N(E283)-N(I283)))</f>
        <v>0</v>
      </c>
      <c r="Q283" s="9" t="n">
        <f aca="false">IF(D283="",0,SUMIFS($P$8:$P$507,$D$8:$D$507,D283,$B$8:$B$507,"&lt;"&amp;B283)+SUMIFS($P$8:P282,$D$8:D282,D283,$B$8:B282,B283))</f>
        <v>0</v>
      </c>
      <c r="R283" s="9" t="n">
        <f aca="false">IF(D283="",0,IFERROR(INDEX(Suppliers!$R$7:$R$106,MATCH(D283,Suppliers!$B$7:$B$106,0)),0))</f>
        <v>0</v>
      </c>
      <c r="S283" s="9" t="str">
        <f aca="false">IF(N(K283)&gt;0,IF(H283="",99999,MIN(H283,IF(ISNUMBER(M283),M283,H283)))+ROW()/100000,"")</f>
        <v/>
      </c>
      <c r="U283" s="9" t="n">
        <f aca="false">IF(N(K283)&gt;0,N(L283),0)</f>
        <v>0</v>
      </c>
      <c r="V283" s="9" t="n">
        <f aca="false">IF(AND(N(K283)&gt;0,ISNUMBER(M283)),M283-Setup!$C$11,99999)</f>
        <v>99999</v>
      </c>
    </row>
    <row r="284" customFormat="false" ht="15" hidden="false" customHeight="false" outlineLevel="0" collapsed="false">
      <c r="A284" s="40" t="str">
        <f aca="false">IF(D284="","",ROW()-7)</f>
        <v/>
      </c>
      <c r="B284" s="79"/>
      <c r="C284" s="75"/>
      <c r="D284" s="76"/>
      <c r="E284" s="80"/>
      <c r="F284" s="79"/>
      <c r="G284" s="76"/>
      <c r="H284" s="54" t="str">
        <f aca="false">IF(OR(D284="",B284=""),"",IF(F284&lt;&gt;"",F284,B284+IFERROR(INDEX(Suppliers!$Q$7:$Q$106,MATCH(D284,Suppliers!$B$7:$B$106,0)),Setup!$C$7)))</f>
        <v/>
      </c>
      <c r="I284" s="46" t="str">
        <f aca="false">IF(OR(D284="",C284=""),IF(D284="","",0),SUMIFS(Payments!$D$8:$D$507,Payments!$C$8:$C$507,D284,Payments!$F$8:$F$507,C284))</f>
        <v/>
      </c>
      <c r="J284" s="46" t="str">
        <f aca="false">IF(D284="","",MIN(P284,MAX(0,R284-Q284)))</f>
        <v/>
      </c>
      <c r="K284" s="47" t="str">
        <f aca="false">IF(D284="","",P284-J284)</f>
        <v/>
      </c>
      <c r="L284" s="55" t="str">
        <f aca="false">IF(OR(D284="",N(K284)&lt;=0,H284=""),"",MAX(0,Setup!$C$11-H284))</f>
        <v/>
      </c>
      <c r="M284" s="54" t="str">
        <f aca="false">IF(OR(D284="",B284=""),"",IF(IFERROR(INDEX(Suppliers!$S$7:$S$106,MATCH(D284,Suppliers!$B$7:$B$106,0)),"")="","–",B284+IFERROR(INDEX(Suppliers!$S$7:$S$106,MATCH(D284,Suppliers!$B$7:$B$106,0)),"")))</f>
        <v/>
      </c>
      <c r="N284" s="56" t="str">
        <f aca="false">IF(D284="","",IF(N(K284)&lt;=0,"Paid",IF(AND(ISNUMBER(M284),Setup!$C$11&gt;M284),"⚠ MSME late",IF(N(L284)&gt;0,"Overdue",IF(N(V284)&lt;=Setup!$C$9,"⚠ MSME due soon",IF(K284&lt;E284,"Part paid","Not due"))))))</f>
        <v/>
      </c>
      <c r="O284" s="50" t="str">
        <f aca="false">IF(AND(D284="",B284="",C284="",E284=""),"",IF(D284="","⚠ Pick supplier",IF(ISNA(MATCH(D284,Suppliers!$B$7:$B$106,0)),"⚠ Supplier not in list",IF(B284="","⚠ Enter bill date",IF(N(E284)&lt;=0,"⚠ Enter amount",IF(AND(C284&lt;&gt;"",COUNTIFS($D$8:$D$507,D284,$C$8:$C$507,C284)&gt;1),"⚠ Bill no. used twice",IF(N(I284)&gt;N(E284),"⚠ Paid more than bill","✔")))))))</f>
        <v/>
      </c>
      <c r="P284" s="9" t="n">
        <f aca="false">IF(D284="",0,MAX(0,N(E284)-N(I284)))</f>
        <v>0</v>
      </c>
      <c r="Q284" s="9" t="n">
        <f aca="false">IF(D284="",0,SUMIFS($P$8:$P$507,$D$8:$D$507,D284,$B$8:$B$507,"&lt;"&amp;B284)+SUMIFS($P$8:P283,$D$8:D283,D284,$B$8:B283,B284))</f>
        <v>0</v>
      </c>
      <c r="R284" s="9" t="n">
        <f aca="false">IF(D284="",0,IFERROR(INDEX(Suppliers!$R$7:$R$106,MATCH(D284,Suppliers!$B$7:$B$106,0)),0))</f>
        <v>0</v>
      </c>
      <c r="S284" s="9" t="str">
        <f aca="false">IF(N(K284)&gt;0,IF(H284="",99999,MIN(H284,IF(ISNUMBER(M284),M284,H284)))+ROW()/100000,"")</f>
        <v/>
      </c>
      <c r="U284" s="9" t="n">
        <f aca="false">IF(N(K284)&gt;0,N(L284),0)</f>
        <v>0</v>
      </c>
      <c r="V284" s="9" t="n">
        <f aca="false">IF(AND(N(K284)&gt;0,ISNUMBER(M284)),M284-Setup!$C$11,99999)</f>
        <v>99999</v>
      </c>
    </row>
    <row r="285" customFormat="false" ht="15" hidden="false" customHeight="false" outlineLevel="0" collapsed="false">
      <c r="A285" s="40" t="str">
        <f aca="false">IF(D285="","",ROW()-7)</f>
        <v/>
      </c>
      <c r="B285" s="79"/>
      <c r="C285" s="75"/>
      <c r="D285" s="76"/>
      <c r="E285" s="80"/>
      <c r="F285" s="79"/>
      <c r="G285" s="76"/>
      <c r="H285" s="54" t="str">
        <f aca="false">IF(OR(D285="",B285=""),"",IF(F285&lt;&gt;"",F285,B285+IFERROR(INDEX(Suppliers!$Q$7:$Q$106,MATCH(D285,Suppliers!$B$7:$B$106,0)),Setup!$C$7)))</f>
        <v/>
      </c>
      <c r="I285" s="46" t="str">
        <f aca="false">IF(OR(D285="",C285=""),IF(D285="","",0),SUMIFS(Payments!$D$8:$D$507,Payments!$C$8:$C$507,D285,Payments!$F$8:$F$507,C285))</f>
        <v/>
      </c>
      <c r="J285" s="46" t="str">
        <f aca="false">IF(D285="","",MIN(P285,MAX(0,R285-Q285)))</f>
        <v/>
      </c>
      <c r="K285" s="47" t="str">
        <f aca="false">IF(D285="","",P285-J285)</f>
        <v/>
      </c>
      <c r="L285" s="55" t="str">
        <f aca="false">IF(OR(D285="",N(K285)&lt;=0,H285=""),"",MAX(0,Setup!$C$11-H285))</f>
        <v/>
      </c>
      <c r="M285" s="54" t="str">
        <f aca="false">IF(OR(D285="",B285=""),"",IF(IFERROR(INDEX(Suppliers!$S$7:$S$106,MATCH(D285,Suppliers!$B$7:$B$106,0)),"")="","–",B285+IFERROR(INDEX(Suppliers!$S$7:$S$106,MATCH(D285,Suppliers!$B$7:$B$106,0)),"")))</f>
        <v/>
      </c>
      <c r="N285" s="56" t="str">
        <f aca="false">IF(D285="","",IF(N(K285)&lt;=0,"Paid",IF(AND(ISNUMBER(M285),Setup!$C$11&gt;M285),"⚠ MSME late",IF(N(L285)&gt;0,"Overdue",IF(N(V285)&lt;=Setup!$C$9,"⚠ MSME due soon",IF(K285&lt;E285,"Part paid","Not due"))))))</f>
        <v/>
      </c>
      <c r="O285" s="50" t="str">
        <f aca="false">IF(AND(D285="",B285="",C285="",E285=""),"",IF(D285="","⚠ Pick supplier",IF(ISNA(MATCH(D285,Suppliers!$B$7:$B$106,0)),"⚠ Supplier not in list",IF(B285="","⚠ Enter bill date",IF(N(E285)&lt;=0,"⚠ Enter amount",IF(AND(C285&lt;&gt;"",COUNTIFS($D$8:$D$507,D285,$C$8:$C$507,C285)&gt;1),"⚠ Bill no. used twice",IF(N(I285)&gt;N(E285),"⚠ Paid more than bill","✔")))))))</f>
        <v/>
      </c>
      <c r="P285" s="9" t="n">
        <f aca="false">IF(D285="",0,MAX(0,N(E285)-N(I285)))</f>
        <v>0</v>
      </c>
      <c r="Q285" s="9" t="n">
        <f aca="false">IF(D285="",0,SUMIFS($P$8:$P$507,$D$8:$D$507,D285,$B$8:$B$507,"&lt;"&amp;B285)+SUMIFS($P$8:P284,$D$8:D284,D285,$B$8:B284,B285))</f>
        <v>0</v>
      </c>
      <c r="R285" s="9" t="n">
        <f aca="false">IF(D285="",0,IFERROR(INDEX(Suppliers!$R$7:$R$106,MATCH(D285,Suppliers!$B$7:$B$106,0)),0))</f>
        <v>0</v>
      </c>
      <c r="S285" s="9" t="str">
        <f aca="false">IF(N(K285)&gt;0,IF(H285="",99999,MIN(H285,IF(ISNUMBER(M285),M285,H285)))+ROW()/100000,"")</f>
        <v/>
      </c>
      <c r="U285" s="9" t="n">
        <f aca="false">IF(N(K285)&gt;0,N(L285),0)</f>
        <v>0</v>
      </c>
      <c r="V285" s="9" t="n">
        <f aca="false">IF(AND(N(K285)&gt;0,ISNUMBER(M285)),M285-Setup!$C$11,99999)</f>
        <v>99999</v>
      </c>
    </row>
    <row r="286" customFormat="false" ht="15" hidden="false" customHeight="false" outlineLevel="0" collapsed="false">
      <c r="A286" s="40" t="str">
        <f aca="false">IF(D286="","",ROW()-7)</f>
        <v/>
      </c>
      <c r="B286" s="79"/>
      <c r="C286" s="75"/>
      <c r="D286" s="76"/>
      <c r="E286" s="80"/>
      <c r="F286" s="79"/>
      <c r="G286" s="76"/>
      <c r="H286" s="54" t="str">
        <f aca="false">IF(OR(D286="",B286=""),"",IF(F286&lt;&gt;"",F286,B286+IFERROR(INDEX(Suppliers!$Q$7:$Q$106,MATCH(D286,Suppliers!$B$7:$B$106,0)),Setup!$C$7)))</f>
        <v/>
      </c>
      <c r="I286" s="46" t="str">
        <f aca="false">IF(OR(D286="",C286=""),IF(D286="","",0),SUMIFS(Payments!$D$8:$D$507,Payments!$C$8:$C$507,D286,Payments!$F$8:$F$507,C286))</f>
        <v/>
      </c>
      <c r="J286" s="46" t="str">
        <f aca="false">IF(D286="","",MIN(P286,MAX(0,R286-Q286)))</f>
        <v/>
      </c>
      <c r="K286" s="47" t="str">
        <f aca="false">IF(D286="","",P286-J286)</f>
        <v/>
      </c>
      <c r="L286" s="55" t="str">
        <f aca="false">IF(OR(D286="",N(K286)&lt;=0,H286=""),"",MAX(0,Setup!$C$11-H286))</f>
        <v/>
      </c>
      <c r="M286" s="54" t="str">
        <f aca="false">IF(OR(D286="",B286=""),"",IF(IFERROR(INDEX(Suppliers!$S$7:$S$106,MATCH(D286,Suppliers!$B$7:$B$106,0)),"")="","–",B286+IFERROR(INDEX(Suppliers!$S$7:$S$106,MATCH(D286,Suppliers!$B$7:$B$106,0)),"")))</f>
        <v/>
      </c>
      <c r="N286" s="56" t="str">
        <f aca="false">IF(D286="","",IF(N(K286)&lt;=0,"Paid",IF(AND(ISNUMBER(M286),Setup!$C$11&gt;M286),"⚠ MSME late",IF(N(L286)&gt;0,"Overdue",IF(N(V286)&lt;=Setup!$C$9,"⚠ MSME due soon",IF(K286&lt;E286,"Part paid","Not due"))))))</f>
        <v/>
      </c>
      <c r="O286" s="50" t="str">
        <f aca="false">IF(AND(D286="",B286="",C286="",E286=""),"",IF(D286="","⚠ Pick supplier",IF(ISNA(MATCH(D286,Suppliers!$B$7:$B$106,0)),"⚠ Supplier not in list",IF(B286="","⚠ Enter bill date",IF(N(E286)&lt;=0,"⚠ Enter amount",IF(AND(C286&lt;&gt;"",COUNTIFS($D$8:$D$507,D286,$C$8:$C$507,C286)&gt;1),"⚠ Bill no. used twice",IF(N(I286)&gt;N(E286),"⚠ Paid more than bill","✔")))))))</f>
        <v/>
      </c>
      <c r="P286" s="9" t="n">
        <f aca="false">IF(D286="",0,MAX(0,N(E286)-N(I286)))</f>
        <v>0</v>
      </c>
      <c r="Q286" s="9" t="n">
        <f aca="false">IF(D286="",0,SUMIFS($P$8:$P$507,$D$8:$D$507,D286,$B$8:$B$507,"&lt;"&amp;B286)+SUMIFS($P$8:P285,$D$8:D285,D286,$B$8:B285,B286))</f>
        <v>0</v>
      </c>
      <c r="R286" s="9" t="n">
        <f aca="false">IF(D286="",0,IFERROR(INDEX(Suppliers!$R$7:$R$106,MATCH(D286,Suppliers!$B$7:$B$106,0)),0))</f>
        <v>0</v>
      </c>
      <c r="S286" s="9" t="str">
        <f aca="false">IF(N(K286)&gt;0,IF(H286="",99999,MIN(H286,IF(ISNUMBER(M286),M286,H286)))+ROW()/100000,"")</f>
        <v/>
      </c>
      <c r="U286" s="9" t="n">
        <f aca="false">IF(N(K286)&gt;0,N(L286),0)</f>
        <v>0</v>
      </c>
      <c r="V286" s="9" t="n">
        <f aca="false">IF(AND(N(K286)&gt;0,ISNUMBER(M286)),M286-Setup!$C$11,99999)</f>
        <v>99999</v>
      </c>
    </row>
    <row r="287" customFormat="false" ht="15" hidden="false" customHeight="false" outlineLevel="0" collapsed="false">
      <c r="A287" s="40" t="str">
        <f aca="false">IF(D287="","",ROW()-7)</f>
        <v/>
      </c>
      <c r="B287" s="79"/>
      <c r="C287" s="75"/>
      <c r="D287" s="76"/>
      <c r="E287" s="80"/>
      <c r="F287" s="79"/>
      <c r="G287" s="76"/>
      <c r="H287" s="54" t="str">
        <f aca="false">IF(OR(D287="",B287=""),"",IF(F287&lt;&gt;"",F287,B287+IFERROR(INDEX(Suppliers!$Q$7:$Q$106,MATCH(D287,Suppliers!$B$7:$B$106,0)),Setup!$C$7)))</f>
        <v/>
      </c>
      <c r="I287" s="46" t="str">
        <f aca="false">IF(OR(D287="",C287=""),IF(D287="","",0),SUMIFS(Payments!$D$8:$D$507,Payments!$C$8:$C$507,D287,Payments!$F$8:$F$507,C287))</f>
        <v/>
      </c>
      <c r="J287" s="46" t="str">
        <f aca="false">IF(D287="","",MIN(P287,MAX(0,R287-Q287)))</f>
        <v/>
      </c>
      <c r="K287" s="47" t="str">
        <f aca="false">IF(D287="","",P287-J287)</f>
        <v/>
      </c>
      <c r="L287" s="55" t="str">
        <f aca="false">IF(OR(D287="",N(K287)&lt;=0,H287=""),"",MAX(0,Setup!$C$11-H287))</f>
        <v/>
      </c>
      <c r="M287" s="54" t="str">
        <f aca="false">IF(OR(D287="",B287=""),"",IF(IFERROR(INDEX(Suppliers!$S$7:$S$106,MATCH(D287,Suppliers!$B$7:$B$106,0)),"")="","–",B287+IFERROR(INDEX(Suppliers!$S$7:$S$106,MATCH(D287,Suppliers!$B$7:$B$106,0)),"")))</f>
        <v/>
      </c>
      <c r="N287" s="56" t="str">
        <f aca="false">IF(D287="","",IF(N(K287)&lt;=0,"Paid",IF(AND(ISNUMBER(M287),Setup!$C$11&gt;M287),"⚠ MSME late",IF(N(L287)&gt;0,"Overdue",IF(N(V287)&lt;=Setup!$C$9,"⚠ MSME due soon",IF(K287&lt;E287,"Part paid","Not due"))))))</f>
        <v/>
      </c>
      <c r="O287" s="50" t="str">
        <f aca="false">IF(AND(D287="",B287="",C287="",E287=""),"",IF(D287="","⚠ Pick supplier",IF(ISNA(MATCH(D287,Suppliers!$B$7:$B$106,0)),"⚠ Supplier not in list",IF(B287="","⚠ Enter bill date",IF(N(E287)&lt;=0,"⚠ Enter amount",IF(AND(C287&lt;&gt;"",COUNTIFS($D$8:$D$507,D287,$C$8:$C$507,C287)&gt;1),"⚠ Bill no. used twice",IF(N(I287)&gt;N(E287),"⚠ Paid more than bill","✔")))))))</f>
        <v/>
      </c>
      <c r="P287" s="9" t="n">
        <f aca="false">IF(D287="",0,MAX(0,N(E287)-N(I287)))</f>
        <v>0</v>
      </c>
      <c r="Q287" s="9" t="n">
        <f aca="false">IF(D287="",0,SUMIFS($P$8:$P$507,$D$8:$D$507,D287,$B$8:$B$507,"&lt;"&amp;B287)+SUMIFS($P$8:P286,$D$8:D286,D287,$B$8:B286,B287))</f>
        <v>0</v>
      </c>
      <c r="R287" s="9" t="n">
        <f aca="false">IF(D287="",0,IFERROR(INDEX(Suppliers!$R$7:$R$106,MATCH(D287,Suppliers!$B$7:$B$106,0)),0))</f>
        <v>0</v>
      </c>
      <c r="S287" s="9" t="str">
        <f aca="false">IF(N(K287)&gt;0,IF(H287="",99999,MIN(H287,IF(ISNUMBER(M287),M287,H287)))+ROW()/100000,"")</f>
        <v/>
      </c>
      <c r="U287" s="9" t="n">
        <f aca="false">IF(N(K287)&gt;0,N(L287),0)</f>
        <v>0</v>
      </c>
      <c r="V287" s="9" t="n">
        <f aca="false">IF(AND(N(K287)&gt;0,ISNUMBER(M287)),M287-Setup!$C$11,99999)</f>
        <v>99999</v>
      </c>
    </row>
    <row r="288" customFormat="false" ht="15" hidden="false" customHeight="false" outlineLevel="0" collapsed="false">
      <c r="A288" s="40" t="str">
        <f aca="false">IF(D288="","",ROW()-7)</f>
        <v/>
      </c>
      <c r="B288" s="79"/>
      <c r="C288" s="75"/>
      <c r="D288" s="76"/>
      <c r="E288" s="80"/>
      <c r="F288" s="79"/>
      <c r="G288" s="76"/>
      <c r="H288" s="54" t="str">
        <f aca="false">IF(OR(D288="",B288=""),"",IF(F288&lt;&gt;"",F288,B288+IFERROR(INDEX(Suppliers!$Q$7:$Q$106,MATCH(D288,Suppliers!$B$7:$B$106,0)),Setup!$C$7)))</f>
        <v/>
      </c>
      <c r="I288" s="46" t="str">
        <f aca="false">IF(OR(D288="",C288=""),IF(D288="","",0),SUMIFS(Payments!$D$8:$D$507,Payments!$C$8:$C$507,D288,Payments!$F$8:$F$507,C288))</f>
        <v/>
      </c>
      <c r="J288" s="46" t="str">
        <f aca="false">IF(D288="","",MIN(P288,MAX(0,R288-Q288)))</f>
        <v/>
      </c>
      <c r="K288" s="47" t="str">
        <f aca="false">IF(D288="","",P288-J288)</f>
        <v/>
      </c>
      <c r="L288" s="55" t="str">
        <f aca="false">IF(OR(D288="",N(K288)&lt;=0,H288=""),"",MAX(0,Setup!$C$11-H288))</f>
        <v/>
      </c>
      <c r="M288" s="54" t="str">
        <f aca="false">IF(OR(D288="",B288=""),"",IF(IFERROR(INDEX(Suppliers!$S$7:$S$106,MATCH(D288,Suppliers!$B$7:$B$106,0)),"")="","–",B288+IFERROR(INDEX(Suppliers!$S$7:$S$106,MATCH(D288,Suppliers!$B$7:$B$106,0)),"")))</f>
        <v/>
      </c>
      <c r="N288" s="56" t="str">
        <f aca="false">IF(D288="","",IF(N(K288)&lt;=0,"Paid",IF(AND(ISNUMBER(M288),Setup!$C$11&gt;M288),"⚠ MSME late",IF(N(L288)&gt;0,"Overdue",IF(N(V288)&lt;=Setup!$C$9,"⚠ MSME due soon",IF(K288&lt;E288,"Part paid","Not due"))))))</f>
        <v/>
      </c>
      <c r="O288" s="50" t="str">
        <f aca="false">IF(AND(D288="",B288="",C288="",E288=""),"",IF(D288="","⚠ Pick supplier",IF(ISNA(MATCH(D288,Suppliers!$B$7:$B$106,0)),"⚠ Supplier not in list",IF(B288="","⚠ Enter bill date",IF(N(E288)&lt;=0,"⚠ Enter amount",IF(AND(C288&lt;&gt;"",COUNTIFS($D$8:$D$507,D288,$C$8:$C$507,C288)&gt;1),"⚠ Bill no. used twice",IF(N(I288)&gt;N(E288),"⚠ Paid more than bill","✔")))))))</f>
        <v/>
      </c>
      <c r="P288" s="9" t="n">
        <f aca="false">IF(D288="",0,MAX(0,N(E288)-N(I288)))</f>
        <v>0</v>
      </c>
      <c r="Q288" s="9" t="n">
        <f aca="false">IF(D288="",0,SUMIFS($P$8:$P$507,$D$8:$D$507,D288,$B$8:$B$507,"&lt;"&amp;B288)+SUMIFS($P$8:P287,$D$8:D287,D288,$B$8:B287,B288))</f>
        <v>0</v>
      </c>
      <c r="R288" s="9" t="n">
        <f aca="false">IF(D288="",0,IFERROR(INDEX(Suppliers!$R$7:$R$106,MATCH(D288,Suppliers!$B$7:$B$106,0)),0))</f>
        <v>0</v>
      </c>
      <c r="S288" s="9" t="str">
        <f aca="false">IF(N(K288)&gt;0,IF(H288="",99999,MIN(H288,IF(ISNUMBER(M288),M288,H288)))+ROW()/100000,"")</f>
        <v/>
      </c>
      <c r="U288" s="9" t="n">
        <f aca="false">IF(N(K288)&gt;0,N(L288),0)</f>
        <v>0</v>
      </c>
      <c r="V288" s="9" t="n">
        <f aca="false">IF(AND(N(K288)&gt;0,ISNUMBER(M288)),M288-Setup!$C$11,99999)</f>
        <v>99999</v>
      </c>
    </row>
    <row r="289" customFormat="false" ht="15" hidden="false" customHeight="false" outlineLevel="0" collapsed="false">
      <c r="A289" s="40" t="str">
        <f aca="false">IF(D289="","",ROW()-7)</f>
        <v/>
      </c>
      <c r="B289" s="79"/>
      <c r="C289" s="75"/>
      <c r="D289" s="76"/>
      <c r="E289" s="80"/>
      <c r="F289" s="79"/>
      <c r="G289" s="76"/>
      <c r="H289" s="54" t="str">
        <f aca="false">IF(OR(D289="",B289=""),"",IF(F289&lt;&gt;"",F289,B289+IFERROR(INDEX(Suppliers!$Q$7:$Q$106,MATCH(D289,Suppliers!$B$7:$B$106,0)),Setup!$C$7)))</f>
        <v/>
      </c>
      <c r="I289" s="46" t="str">
        <f aca="false">IF(OR(D289="",C289=""),IF(D289="","",0),SUMIFS(Payments!$D$8:$D$507,Payments!$C$8:$C$507,D289,Payments!$F$8:$F$507,C289))</f>
        <v/>
      </c>
      <c r="J289" s="46" t="str">
        <f aca="false">IF(D289="","",MIN(P289,MAX(0,R289-Q289)))</f>
        <v/>
      </c>
      <c r="K289" s="47" t="str">
        <f aca="false">IF(D289="","",P289-J289)</f>
        <v/>
      </c>
      <c r="L289" s="55" t="str">
        <f aca="false">IF(OR(D289="",N(K289)&lt;=0,H289=""),"",MAX(0,Setup!$C$11-H289))</f>
        <v/>
      </c>
      <c r="M289" s="54" t="str">
        <f aca="false">IF(OR(D289="",B289=""),"",IF(IFERROR(INDEX(Suppliers!$S$7:$S$106,MATCH(D289,Suppliers!$B$7:$B$106,0)),"")="","–",B289+IFERROR(INDEX(Suppliers!$S$7:$S$106,MATCH(D289,Suppliers!$B$7:$B$106,0)),"")))</f>
        <v/>
      </c>
      <c r="N289" s="56" t="str">
        <f aca="false">IF(D289="","",IF(N(K289)&lt;=0,"Paid",IF(AND(ISNUMBER(M289),Setup!$C$11&gt;M289),"⚠ MSME late",IF(N(L289)&gt;0,"Overdue",IF(N(V289)&lt;=Setup!$C$9,"⚠ MSME due soon",IF(K289&lt;E289,"Part paid","Not due"))))))</f>
        <v/>
      </c>
      <c r="O289" s="50" t="str">
        <f aca="false">IF(AND(D289="",B289="",C289="",E289=""),"",IF(D289="","⚠ Pick supplier",IF(ISNA(MATCH(D289,Suppliers!$B$7:$B$106,0)),"⚠ Supplier not in list",IF(B289="","⚠ Enter bill date",IF(N(E289)&lt;=0,"⚠ Enter amount",IF(AND(C289&lt;&gt;"",COUNTIFS($D$8:$D$507,D289,$C$8:$C$507,C289)&gt;1),"⚠ Bill no. used twice",IF(N(I289)&gt;N(E289),"⚠ Paid more than bill","✔")))))))</f>
        <v/>
      </c>
      <c r="P289" s="9" t="n">
        <f aca="false">IF(D289="",0,MAX(0,N(E289)-N(I289)))</f>
        <v>0</v>
      </c>
      <c r="Q289" s="9" t="n">
        <f aca="false">IF(D289="",0,SUMIFS($P$8:$P$507,$D$8:$D$507,D289,$B$8:$B$507,"&lt;"&amp;B289)+SUMIFS($P$8:P288,$D$8:D288,D289,$B$8:B288,B289))</f>
        <v>0</v>
      </c>
      <c r="R289" s="9" t="n">
        <f aca="false">IF(D289="",0,IFERROR(INDEX(Suppliers!$R$7:$R$106,MATCH(D289,Suppliers!$B$7:$B$106,0)),0))</f>
        <v>0</v>
      </c>
      <c r="S289" s="9" t="str">
        <f aca="false">IF(N(K289)&gt;0,IF(H289="",99999,MIN(H289,IF(ISNUMBER(M289),M289,H289)))+ROW()/100000,"")</f>
        <v/>
      </c>
      <c r="U289" s="9" t="n">
        <f aca="false">IF(N(K289)&gt;0,N(L289),0)</f>
        <v>0</v>
      </c>
      <c r="V289" s="9" t="n">
        <f aca="false">IF(AND(N(K289)&gt;0,ISNUMBER(M289)),M289-Setup!$C$11,99999)</f>
        <v>99999</v>
      </c>
    </row>
    <row r="290" customFormat="false" ht="15" hidden="false" customHeight="false" outlineLevel="0" collapsed="false">
      <c r="A290" s="40" t="str">
        <f aca="false">IF(D290="","",ROW()-7)</f>
        <v/>
      </c>
      <c r="B290" s="79"/>
      <c r="C290" s="75"/>
      <c r="D290" s="76"/>
      <c r="E290" s="80"/>
      <c r="F290" s="79"/>
      <c r="G290" s="76"/>
      <c r="H290" s="54" t="str">
        <f aca="false">IF(OR(D290="",B290=""),"",IF(F290&lt;&gt;"",F290,B290+IFERROR(INDEX(Suppliers!$Q$7:$Q$106,MATCH(D290,Suppliers!$B$7:$B$106,0)),Setup!$C$7)))</f>
        <v/>
      </c>
      <c r="I290" s="46" t="str">
        <f aca="false">IF(OR(D290="",C290=""),IF(D290="","",0),SUMIFS(Payments!$D$8:$D$507,Payments!$C$8:$C$507,D290,Payments!$F$8:$F$507,C290))</f>
        <v/>
      </c>
      <c r="J290" s="46" t="str">
        <f aca="false">IF(D290="","",MIN(P290,MAX(0,R290-Q290)))</f>
        <v/>
      </c>
      <c r="K290" s="47" t="str">
        <f aca="false">IF(D290="","",P290-J290)</f>
        <v/>
      </c>
      <c r="L290" s="55" t="str">
        <f aca="false">IF(OR(D290="",N(K290)&lt;=0,H290=""),"",MAX(0,Setup!$C$11-H290))</f>
        <v/>
      </c>
      <c r="M290" s="54" t="str">
        <f aca="false">IF(OR(D290="",B290=""),"",IF(IFERROR(INDEX(Suppliers!$S$7:$S$106,MATCH(D290,Suppliers!$B$7:$B$106,0)),"")="","–",B290+IFERROR(INDEX(Suppliers!$S$7:$S$106,MATCH(D290,Suppliers!$B$7:$B$106,0)),"")))</f>
        <v/>
      </c>
      <c r="N290" s="56" t="str">
        <f aca="false">IF(D290="","",IF(N(K290)&lt;=0,"Paid",IF(AND(ISNUMBER(M290),Setup!$C$11&gt;M290),"⚠ MSME late",IF(N(L290)&gt;0,"Overdue",IF(N(V290)&lt;=Setup!$C$9,"⚠ MSME due soon",IF(K290&lt;E290,"Part paid","Not due"))))))</f>
        <v/>
      </c>
      <c r="O290" s="50" t="str">
        <f aca="false">IF(AND(D290="",B290="",C290="",E290=""),"",IF(D290="","⚠ Pick supplier",IF(ISNA(MATCH(D290,Suppliers!$B$7:$B$106,0)),"⚠ Supplier not in list",IF(B290="","⚠ Enter bill date",IF(N(E290)&lt;=0,"⚠ Enter amount",IF(AND(C290&lt;&gt;"",COUNTIFS($D$8:$D$507,D290,$C$8:$C$507,C290)&gt;1),"⚠ Bill no. used twice",IF(N(I290)&gt;N(E290),"⚠ Paid more than bill","✔")))))))</f>
        <v/>
      </c>
      <c r="P290" s="9" t="n">
        <f aca="false">IF(D290="",0,MAX(0,N(E290)-N(I290)))</f>
        <v>0</v>
      </c>
      <c r="Q290" s="9" t="n">
        <f aca="false">IF(D290="",0,SUMIFS($P$8:$P$507,$D$8:$D$507,D290,$B$8:$B$507,"&lt;"&amp;B290)+SUMIFS($P$8:P289,$D$8:D289,D290,$B$8:B289,B290))</f>
        <v>0</v>
      </c>
      <c r="R290" s="9" t="n">
        <f aca="false">IF(D290="",0,IFERROR(INDEX(Suppliers!$R$7:$R$106,MATCH(D290,Suppliers!$B$7:$B$106,0)),0))</f>
        <v>0</v>
      </c>
      <c r="S290" s="9" t="str">
        <f aca="false">IF(N(K290)&gt;0,IF(H290="",99999,MIN(H290,IF(ISNUMBER(M290),M290,H290)))+ROW()/100000,"")</f>
        <v/>
      </c>
      <c r="U290" s="9" t="n">
        <f aca="false">IF(N(K290)&gt;0,N(L290),0)</f>
        <v>0</v>
      </c>
      <c r="V290" s="9" t="n">
        <f aca="false">IF(AND(N(K290)&gt;0,ISNUMBER(M290)),M290-Setup!$C$11,99999)</f>
        <v>99999</v>
      </c>
    </row>
    <row r="291" customFormat="false" ht="15" hidden="false" customHeight="false" outlineLevel="0" collapsed="false">
      <c r="A291" s="40" t="str">
        <f aca="false">IF(D291="","",ROW()-7)</f>
        <v/>
      </c>
      <c r="B291" s="79"/>
      <c r="C291" s="75"/>
      <c r="D291" s="76"/>
      <c r="E291" s="80"/>
      <c r="F291" s="79"/>
      <c r="G291" s="76"/>
      <c r="H291" s="54" t="str">
        <f aca="false">IF(OR(D291="",B291=""),"",IF(F291&lt;&gt;"",F291,B291+IFERROR(INDEX(Suppliers!$Q$7:$Q$106,MATCH(D291,Suppliers!$B$7:$B$106,0)),Setup!$C$7)))</f>
        <v/>
      </c>
      <c r="I291" s="46" t="str">
        <f aca="false">IF(OR(D291="",C291=""),IF(D291="","",0),SUMIFS(Payments!$D$8:$D$507,Payments!$C$8:$C$507,D291,Payments!$F$8:$F$507,C291))</f>
        <v/>
      </c>
      <c r="J291" s="46" t="str">
        <f aca="false">IF(D291="","",MIN(P291,MAX(0,R291-Q291)))</f>
        <v/>
      </c>
      <c r="K291" s="47" t="str">
        <f aca="false">IF(D291="","",P291-J291)</f>
        <v/>
      </c>
      <c r="L291" s="55" t="str">
        <f aca="false">IF(OR(D291="",N(K291)&lt;=0,H291=""),"",MAX(0,Setup!$C$11-H291))</f>
        <v/>
      </c>
      <c r="M291" s="54" t="str">
        <f aca="false">IF(OR(D291="",B291=""),"",IF(IFERROR(INDEX(Suppliers!$S$7:$S$106,MATCH(D291,Suppliers!$B$7:$B$106,0)),"")="","–",B291+IFERROR(INDEX(Suppliers!$S$7:$S$106,MATCH(D291,Suppliers!$B$7:$B$106,0)),"")))</f>
        <v/>
      </c>
      <c r="N291" s="56" t="str">
        <f aca="false">IF(D291="","",IF(N(K291)&lt;=0,"Paid",IF(AND(ISNUMBER(M291),Setup!$C$11&gt;M291),"⚠ MSME late",IF(N(L291)&gt;0,"Overdue",IF(N(V291)&lt;=Setup!$C$9,"⚠ MSME due soon",IF(K291&lt;E291,"Part paid","Not due"))))))</f>
        <v/>
      </c>
      <c r="O291" s="50" t="str">
        <f aca="false">IF(AND(D291="",B291="",C291="",E291=""),"",IF(D291="","⚠ Pick supplier",IF(ISNA(MATCH(D291,Suppliers!$B$7:$B$106,0)),"⚠ Supplier not in list",IF(B291="","⚠ Enter bill date",IF(N(E291)&lt;=0,"⚠ Enter amount",IF(AND(C291&lt;&gt;"",COUNTIFS($D$8:$D$507,D291,$C$8:$C$507,C291)&gt;1),"⚠ Bill no. used twice",IF(N(I291)&gt;N(E291),"⚠ Paid more than bill","✔")))))))</f>
        <v/>
      </c>
      <c r="P291" s="9" t="n">
        <f aca="false">IF(D291="",0,MAX(0,N(E291)-N(I291)))</f>
        <v>0</v>
      </c>
      <c r="Q291" s="9" t="n">
        <f aca="false">IF(D291="",0,SUMIFS($P$8:$P$507,$D$8:$D$507,D291,$B$8:$B$507,"&lt;"&amp;B291)+SUMIFS($P$8:P290,$D$8:D290,D291,$B$8:B290,B291))</f>
        <v>0</v>
      </c>
      <c r="R291" s="9" t="n">
        <f aca="false">IF(D291="",0,IFERROR(INDEX(Suppliers!$R$7:$R$106,MATCH(D291,Suppliers!$B$7:$B$106,0)),0))</f>
        <v>0</v>
      </c>
      <c r="S291" s="9" t="str">
        <f aca="false">IF(N(K291)&gt;0,IF(H291="",99999,MIN(H291,IF(ISNUMBER(M291),M291,H291)))+ROW()/100000,"")</f>
        <v/>
      </c>
      <c r="U291" s="9" t="n">
        <f aca="false">IF(N(K291)&gt;0,N(L291),0)</f>
        <v>0</v>
      </c>
      <c r="V291" s="9" t="n">
        <f aca="false">IF(AND(N(K291)&gt;0,ISNUMBER(M291)),M291-Setup!$C$11,99999)</f>
        <v>99999</v>
      </c>
    </row>
    <row r="292" customFormat="false" ht="15" hidden="false" customHeight="false" outlineLevel="0" collapsed="false">
      <c r="A292" s="40" t="str">
        <f aca="false">IF(D292="","",ROW()-7)</f>
        <v/>
      </c>
      <c r="B292" s="79"/>
      <c r="C292" s="75"/>
      <c r="D292" s="76"/>
      <c r="E292" s="80"/>
      <c r="F292" s="79"/>
      <c r="G292" s="76"/>
      <c r="H292" s="54" t="str">
        <f aca="false">IF(OR(D292="",B292=""),"",IF(F292&lt;&gt;"",F292,B292+IFERROR(INDEX(Suppliers!$Q$7:$Q$106,MATCH(D292,Suppliers!$B$7:$B$106,0)),Setup!$C$7)))</f>
        <v/>
      </c>
      <c r="I292" s="46" t="str">
        <f aca="false">IF(OR(D292="",C292=""),IF(D292="","",0),SUMIFS(Payments!$D$8:$D$507,Payments!$C$8:$C$507,D292,Payments!$F$8:$F$507,C292))</f>
        <v/>
      </c>
      <c r="J292" s="46" t="str">
        <f aca="false">IF(D292="","",MIN(P292,MAX(0,R292-Q292)))</f>
        <v/>
      </c>
      <c r="K292" s="47" t="str">
        <f aca="false">IF(D292="","",P292-J292)</f>
        <v/>
      </c>
      <c r="L292" s="55" t="str">
        <f aca="false">IF(OR(D292="",N(K292)&lt;=0,H292=""),"",MAX(0,Setup!$C$11-H292))</f>
        <v/>
      </c>
      <c r="M292" s="54" t="str">
        <f aca="false">IF(OR(D292="",B292=""),"",IF(IFERROR(INDEX(Suppliers!$S$7:$S$106,MATCH(D292,Suppliers!$B$7:$B$106,0)),"")="","–",B292+IFERROR(INDEX(Suppliers!$S$7:$S$106,MATCH(D292,Suppliers!$B$7:$B$106,0)),"")))</f>
        <v/>
      </c>
      <c r="N292" s="56" t="str">
        <f aca="false">IF(D292="","",IF(N(K292)&lt;=0,"Paid",IF(AND(ISNUMBER(M292),Setup!$C$11&gt;M292),"⚠ MSME late",IF(N(L292)&gt;0,"Overdue",IF(N(V292)&lt;=Setup!$C$9,"⚠ MSME due soon",IF(K292&lt;E292,"Part paid","Not due"))))))</f>
        <v/>
      </c>
      <c r="O292" s="50" t="str">
        <f aca="false">IF(AND(D292="",B292="",C292="",E292=""),"",IF(D292="","⚠ Pick supplier",IF(ISNA(MATCH(D292,Suppliers!$B$7:$B$106,0)),"⚠ Supplier not in list",IF(B292="","⚠ Enter bill date",IF(N(E292)&lt;=0,"⚠ Enter amount",IF(AND(C292&lt;&gt;"",COUNTIFS($D$8:$D$507,D292,$C$8:$C$507,C292)&gt;1),"⚠ Bill no. used twice",IF(N(I292)&gt;N(E292),"⚠ Paid more than bill","✔")))))))</f>
        <v/>
      </c>
      <c r="P292" s="9" t="n">
        <f aca="false">IF(D292="",0,MAX(0,N(E292)-N(I292)))</f>
        <v>0</v>
      </c>
      <c r="Q292" s="9" t="n">
        <f aca="false">IF(D292="",0,SUMIFS($P$8:$P$507,$D$8:$D$507,D292,$B$8:$B$507,"&lt;"&amp;B292)+SUMIFS($P$8:P291,$D$8:D291,D292,$B$8:B291,B292))</f>
        <v>0</v>
      </c>
      <c r="R292" s="9" t="n">
        <f aca="false">IF(D292="",0,IFERROR(INDEX(Suppliers!$R$7:$R$106,MATCH(D292,Suppliers!$B$7:$B$106,0)),0))</f>
        <v>0</v>
      </c>
      <c r="S292" s="9" t="str">
        <f aca="false">IF(N(K292)&gt;0,IF(H292="",99999,MIN(H292,IF(ISNUMBER(M292),M292,H292)))+ROW()/100000,"")</f>
        <v/>
      </c>
      <c r="U292" s="9" t="n">
        <f aca="false">IF(N(K292)&gt;0,N(L292),0)</f>
        <v>0</v>
      </c>
      <c r="V292" s="9" t="n">
        <f aca="false">IF(AND(N(K292)&gt;0,ISNUMBER(M292)),M292-Setup!$C$11,99999)</f>
        <v>99999</v>
      </c>
    </row>
    <row r="293" customFormat="false" ht="15" hidden="false" customHeight="false" outlineLevel="0" collapsed="false">
      <c r="A293" s="40" t="str">
        <f aca="false">IF(D293="","",ROW()-7)</f>
        <v/>
      </c>
      <c r="B293" s="79"/>
      <c r="C293" s="75"/>
      <c r="D293" s="76"/>
      <c r="E293" s="80"/>
      <c r="F293" s="79"/>
      <c r="G293" s="76"/>
      <c r="H293" s="54" t="str">
        <f aca="false">IF(OR(D293="",B293=""),"",IF(F293&lt;&gt;"",F293,B293+IFERROR(INDEX(Suppliers!$Q$7:$Q$106,MATCH(D293,Suppliers!$B$7:$B$106,0)),Setup!$C$7)))</f>
        <v/>
      </c>
      <c r="I293" s="46" t="str">
        <f aca="false">IF(OR(D293="",C293=""),IF(D293="","",0),SUMIFS(Payments!$D$8:$D$507,Payments!$C$8:$C$507,D293,Payments!$F$8:$F$507,C293))</f>
        <v/>
      </c>
      <c r="J293" s="46" t="str">
        <f aca="false">IF(D293="","",MIN(P293,MAX(0,R293-Q293)))</f>
        <v/>
      </c>
      <c r="K293" s="47" t="str">
        <f aca="false">IF(D293="","",P293-J293)</f>
        <v/>
      </c>
      <c r="L293" s="55" t="str">
        <f aca="false">IF(OR(D293="",N(K293)&lt;=0,H293=""),"",MAX(0,Setup!$C$11-H293))</f>
        <v/>
      </c>
      <c r="M293" s="54" t="str">
        <f aca="false">IF(OR(D293="",B293=""),"",IF(IFERROR(INDEX(Suppliers!$S$7:$S$106,MATCH(D293,Suppliers!$B$7:$B$106,0)),"")="","–",B293+IFERROR(INDEX(Suppliers!$S$7:$S$106,MATCH(D293,Suppliers!$B$7:$B$106,0)),"")))</f>
        <v/>
      </c>
      <c r="N293" s="56" t="str">
        <f aca="false">IF(D293="","",IF(N(K293)&lt;=0,"Paid",IF(AND(ISNUMBER(M293),Setup!$C$11&gt;M293),"⚠ MSME late",IF(N(L293)&gt;0,"Overdue",IF(N(V293)&lt;=Setup!$C$9,"⚠ MSME due soon",IF(K293&lt;E293,"Part paid","Not due"))))))</f>
        <v/>
      </c>
      <c r="O293" s="50" t="str">
        <f aca="false">IF(AND(D293="",B293="",C293="",E293=""),"",IF(D293="","⚠ Pick supplier",IF(ISNA(MATCH(D293,Suppliers!$B$7:$B$106,0)),"⚠ Supplier not in list",IF(B293="","⚠ Enter bill date",IF(N(E293)&lt;=0,"⚠ Enter amount",IF(AND(C293&lt;&gt;"",COUNTIFS($D$8:$D$507,D293,$C$8:$C$507,C293)&gt;1),"⚠ Bill no. used twice",IF(N(I293)&gt;N(E293),"⚠ Paid more than bill","✔")))))))</f>
        <v/>
      </c>
      <c r="P293" s="9" t="n">
        <f aca="false">IF(D293="",0,MAX(0,N(E293)-N(I293)))</f>
        <v>0</v>
      </c>
      <c r="Q293" s="9" t="n">
        <f aca="false">IF(D293="",0,SUMIFS($P$8:$P$507,$D$8:$D$507,D293,$B$8:$B$507,"&lt;"&amp;B293)+SUMIFS($P$8:P292,$D$8:D292,D293,$B$8:B292,B293))</f>
        <v>0</v>
      </c>
      <c r="R293" s="9" t="n">
        <f aca="false">IF(D293="",0,IFERROR(INDEX(Suppliers!$R$7:$R$106,MATCH(D293,Suppliers!$B$7:$B$106,0)),0))</f>
        <v>0</v>
      </c>
      <c r="S293" s="9" t="str">
        <f aca="false">IF(N(K293)&gt;0,IF(H293="",99999,MIN(H293,IF(ISNUMBER(M293),M293,H293)))+ROW()/100000,"")</f>
        <v/>
      </c>
      <c r="U293" s="9" t="n">
        <f aca="false">IF(N(K293)&gt;0,N(L293),0)</f>
        <v>0</v>
      </c>
      <c r="V293" s="9" t="n">
        <f aca="false">IF(AND(N(K293)&gt;0,ISNUMBER(M293)),M293-Setup!$C$11,99999)</f>
        <v>99999</v>
      </c>
    </row>
    <row r="294" customFormat="false" ht="15" hidden="false" customHeight="false" outlineLevel="0" collapsed="false">
      <c r="A294" s="40" t="str">
        <f aca="false">IF(D294="","",ROW()-7)</f>
        <v/>
      </c>
      <c r="B294" s="79"/>
      <c r="C294" s="75"/>
      <c r="D294" s="76"/>
      <c r="E294" s="80"/>
      <c r="F294" s="79"/>
      <c r="G294" s="76"/>
      <c r="H294" s="54" t="str">
        <f aca="false">IF(OR(D294="",B294=""),"",IF(F294&lt;&gt;"",F294,B294+IFERROR(INDEX(Suppliers!$Q$7:$Q$106,MATCH(D294,Suppliers!$B$7:$B$106,0)),Setup!$C$7)))</f>
        <v/>
      </c>
      <c r="I294" s="46" t="str">
        <f aca="false">IF(OR(D294="",C294=""),IF(D294="","",0),SUMIFS(Payments!$D$8:$D$507,Payments!$C$8:$C$507,D294,Payments!$F$8:$F$507,C294))</f>
        <v/>
      </c>
      <c r="J294" s="46" t="str">
        <f aca="false">IF(D294="","",MIN(P294,MAX(0,R294-Q294)))</f>
        <v/>
      </c>
      <c r="K294" s="47" t="str">
        <f aca="false">IF(D294="","",P294-J294)</f>
        <v/>
      </c>
      <c r="L294" s="55" t="str">
        <f aca="false">IF(OR(D294="",N(K294)&lt;=0,H294=""),"",MAX(0,Setup!$C$11-H294))</f>
        <v/>
      </c>
      <c r="M294" s="54" t="str">
        <f aca="false">IF(OR(D294="",B294=""),"",IF(IFERROR(INDEX(Suppliers!$S$7:$S$106,MATCH(D294,Suppliers!$B$7:$B$106,0)),"")="","–",B294+IFERROR(INDEX(Suppliers!$S$7:$S$106,MATCH(D294,Suppliers!$B$7:$B$106,0)),"")))</f>
        <v/>
      </c>
      <c r="N294" s="56" t="str">
        <f aca="false">IF(D294="","",IF(N(K294)&lt;=0,"Paid",IF(AND(ISNUMBER(M294),Setup!$C$11&gt;M294),"⚠ MSME late",IF(N(L294)&gt;0,"Overdue",IF(N(V294)&lt;=Setup!$C$9,"⚠ MSME due soon",IF(K294&lt;E294,"Part paid","Not due"))))))</f>
        <v/>
      </c>
      <c r="O294" s="50" t="str">
        <f aca="false">IF(AND(D294="",B294="",C294="",E294=""),"",IF(D294="","⚠ Pick supplier",IF(ISNA(MATCH(D294,Suppliers!$B$7:$B$106,0)),"⚠ Supplier not in list",IF(B294="","⚠ Enter bill date",IF(N(E294)&lt;=0,"⚠ Enter amount",IF(AND(C294&lt;&gt;"",COUNTIFS($D$8:$D$507,D294,$C$8:$C$507,C294)&gt;1),"⚠ Bill no. used twice",IF(N(I294)&gt;N(E294),"⚠ Paid more than bill","✔")))))))</f>
        <v/>
      </c>
      <c r="P294" s="9" t="n">
        <f aca="false">IF(D294="",0,MAX(0,N(E294)-N(I294)))</f>
        <v>0</v>
      </c>
      <c r="Q294" s="9" t="n">
        <f aca="false">IF(D294="",0,SUMIFS($P$8:$P$507,$D$8:$D$507,D294,$B$8:$B$507,"&lt;"&amp;B294)+SUMIFS($P$8:P293,$D$8:D293,D294,$B$8:B293,B294))</f>
        <v>0</v>
      </c>
      <c r="R294" s="9" t="n">
        <f aca="false">IF(D294="",0,IFERROR(INDEX(Suppliers!$R$7:$R$106,MATCH(D294,Suppliers!$B$7:$B$106,0)),0))</f>
        <v>0</v>
      </c>
      <c r="S294" s="9" t="str">
        <f aca="false">IF(N(K294)&gt;0,IF(H294="",99999,MIN(H294,IF(ISNUMBER(M294),M294,H294)))+ROW()/100000,"")</f>
        <v/>
      </c>
      <c r="U294" s="9" t="n">
        <f aca="false">IF(N(K294)&gt;0,N(L294),0)</f>
        <v>0</v>
      </c>
      <c r="V294" s="9" t="n">
        <f aca="false">IF(AND(N(K294)&gt;0,ISNUMBER(M294)),M294-Setup!$C$11,99999)</f>
        <v>99999</v>
      </c>
    </row>
    <row r="295" customFormat="false" ht="15" hidden="false" customHeight="false" outlineLevel="0" collapsed="false">
      <c r="A295" s="40" t="str">
        <f aca="false">IF(D295="","",ROW()-7)</f>
        <v/>
      </c>
      <c r="B295" s="79"/>
      <c r="C295" s="75"/>
      <c r="D295" s="76"/>
      <c r="E295" s="80"/>
      <c r="F295" s="79"/>
      <c r="G295" s="76"/>
      <c r="H295" s="54" t="str">
        <f aca="false">IF(OR(D295="",B295=""),"",IF(F295&lt;&gt;"",F295,B295+IFERROR(INDEX(Suppliers!$Q$7:$Q$106,MATCH(D295,Suppliers!$B$7:$B$106,0)),Setup!$C$7)))</f>
        <v/>
      </c>
      <c r="I295" s="46" t="str">
        <f aca="false">IF(OR(D295="",C295=""),IF(D295="","",0),SUMIFS(Payments!$D$8:$D$507,Payments!$C$8:$C$507,D295,Payments!$F$8:$F$507,C295))</f>
        <v/>
      </c>
      <c r="J295" s="46" t="str">
        <f aca="false">IF(D295="","",MIN(P295,MAX(0,R295-Q295)))</f>
        <v/>
      </c>
      <c r="K295" s="47" t="str">
        <f aca="false">IF(D295="","",P295-J295)</f>
        <v/>
      </c>
      <c r="L295" s="55" t="str">
        <f aca="false">IF(OR(D295="",N(K295)&lt;=0,H295=""),"",MAX(0,Setup!$C$11-H295))</f>
        <v/>
      </c>
      <c r="M295" s="54" t="str">
        <f aca="false">IF(OR(D295="",B295=""),"",IF(IFERROR(INDEX(Suppliers!$S$7:$S$106,MATCH(D295,Suppliers!$B$7:$B$106,0)),"")="","–",B295+IFERROR(INDEX(Suppliers!$S$7:$S$106,MATCH(D295,Suppliers!$B$7:$B$106,0)),"")))</f>
        <v/>
      </c>
      <c r="N295" s="56" t="str">
        <f aca="false">IF(D295="","",IF(N(K295)&lt;=0,"Paid",IF(AND(ISNUMBER(M295),Setup!$C$11&gt;M295),"⚠ MSME late",IF(N(L295)&gt;0,"Overdue",IF(N(V295)&lt;=Setup!$C$9,"⚠ MSME due soon",IF(K295&lt;E295,"Part paid","Not due"))))))</f>
        <v/>
      </c>
      <c r="O295" s="50" t="str">
        <f aca="false">IF(AND(D295="",B295="",C295="",E295=""),"",IF(D295="","⚠ Pick supplier",IF(ISNA(MATCH(D295,Suppliers!$B$7:$B$106,0)),"⚠ Supplier not in list",IF(B295="","⚠ Enter bill date",IF(N(E295)&lt;=0,"⚠ Enter amount",IF(AND(C295&lt;&gt;"",COUNTIFS($D$8:$D$507,D295,$C$8:$C$507,C295)&gt;1),"⚠ Bill no. used twice",IF(N(I295)&gt;N(E295),"⚠ Paid more than bill","✔")))))))</f>
        <v/>
      </c>
      <c r="P295" s="9" t="n">
        <f aca="false">IF(D295="",0,MAX(0,N(E295)-N(I295)))</f>
        <v>0</v>
      </c>
      <c r="Q295" s="9" t="n">
        <f aca="false">IF(D295="",0,SUMIFS($P$8:$P$507,$D$8:$D$507,D295,$B$8:$B$507,"&lt;"&amp;B295)+SUMIFS($P$8:P294,$D$8:D294,D295,$B$8:B294,B295))</f>
        <v>0</v>
      </c>
      <c r="R295" s="9" t="n">
        <f aca="false">IF(D295="",0,IFERROR(INDEX(Suppliers!$R$7:$R$106,MATCH(D295,Suppliers!$B$7:$B$106,0)),0))</f>
        <v>0</v>
      </c>
      <c r="S295" s="9" t="str">
        <f aca="false">IF(N(K295)&gt;0,IF(H295="",99999,MIN(H295,IF(ISNUMBER(M295),M295,H295)))+ROW()/100000,"")</f>
        <v/>
      </c>
      <c r="U295" s="9" t="n">
        <f aca="false">IF(N(K295)&gt;0,N(L295),0)</f>
        <v>0</v>
      </c>
      <c r="V295" s="9" t="n">
        <f aca="false">IF(AND(N(K295)&gt;0,ISNUMBER(M295)),M295-Setup!$C$11,99999)</f>
        <v>99999</v>
      </c>
    </row>
    <row r="296" customFormat="false" ht="15" hidden="false" customHeight="false" outlineLevel="0" collapsed="false">
      <c r="A296" s="40" t="str">
        <f aca="false">IF(D296="","",ROW()-7)</f>
        <v/>
      </c>
      <c r="B296" s="79"/>
      <c r="C296" s="75"/>
      <c r="D296" s="76"/>
      <c r="E296" s="80"/>
      <c r="F296" s="79"/>
      <c r="G296" s="76"/>
      <c r="H296" s="54" t="str">
        <f aca="false">IF(OR(D296="",B296=""),"",IF(F296&lt;&gt;"",F296,B296+IFERROR(INDEX(Suppliers!$Q$7:$Q$106,MATCH(D296,Suppliers!$B$7:$B$106,0)),Setup!$C$7)))</f>
        <v/>
      </c>
      <c r="I296" s="46" t="str">
        <f aca="false">IF(OR(D296="",C296=""),IF(D296="","",0),SUMIFS(Payments!$D$8:$D$507,Payments!$C$8:$C$507,D296,Payments!$F$8:$F$507,C296))</f>
        <v/>
      </c>
      <c r="J296" s="46" t="str">
        <f aca="false">IF(D296="","",MIN(P296,MAX(0,R296-Q296)))</f>
        <v/>
      </c>
      <c r="K296" s="47" t="str">
        <f aca="false">IF(D296="","",P296-J296)</f>
        <v/>
      </c>
      <c r="L296" s="55" t="str">
        <f aca="false">IF(OR(D296="",N(K296)&lt;=0,H296=""),"",MAX(0,Setup!$C$11-H296))</f>
        <v/>
      </c>
      <c r="M296" s="54" t="str">
        <f aca="false">IF(OR(D296="",B296=""),"",IF(IFERROR(INDEX(Suppliers!$S$7:$S$106,MATCH(D296,Suppliers!$B$7:$B$106,0)),"")="","–",B296+IFERROR(INDEX(Suppliers!$S$7:$S$106,MATCH(D296,Suppliers!$B$7:$B$106,0)),"")))</f>
        <v/>
      </c>
      <c r="N296" s="56" t="str">
        <f aca="false">IF(D296="","",IF(N(K296)&lt;=0,"Paid",IF(AND(ISNUMBER(M296),Setup!$C$11&gt;M296),"⚠ MSME late",IF(N(L296)&gt;0,"Overdue",IF(N(V296)&lt;=Setup!$C$9,"⚠ MSME due soon",IF(K296&lt;E296,"Part paid","Not due"))))))</f>
        <v/>
      </c>
      <c r="O296" s="50" t="str">
        <f aca="false">IF(AND(D296="",B296="",C296="",E296=""),"",IF(D296="","⚠ Pick supplier",IF(ISNA(MATCH(D296,Suppliers!$B$7:$B$106,0)),"⚠ Supplier not in list",IF(B296="","⚠ Enter bill date",IF(N(E296)&lt;=0,"⚠ Enter amount",IF(AND(C296&lt;&gt;"",COUNTIFS($D$8:$D$507,D296,$C$8:$C$507,C296)&gt;1),"⚠ Bill no. used twice",IF(N(I296)&gt;N(E296),"⚠ Paid more than bill","✔")))))))</f>
        <v/>
      </c>
      <c r="P296" s="9" t="n">
        <f aca="false">IF(D296="",0,MAX(0,N(E296)-N(I296)))</f>
        <v>0</v>
      </c>
      <c r="Q296" s="9" t="n">
        <f aca="false">IF(D296="",0,SUMIFS($P$8:$P$507,$D$8:$D$507,D296,$B$8:$B$507,"&lt;"&amp;B296)+SUMIFS($P$8:P295,$D$8:D295,D296,$B$8:B295,B296))</f>
        <v>0</v>
      </c>
      <c r="R296" s="9" t="n">
        <f aca="false">IF(D296="",0,IFERROR(INDEX(Suppliers!$R$7:$R$106,MATCH(D296,Suppliers!$B$7:$B$106,0)),0))</f>
        <v>0</v>
      </c>
      <c r="S296" s="9" t="str">
        <f aca="false">IF(N(K296)&gt;0,IF(H296="",99999,MIN(H296,IF(ISNUMBER(M296),M296,H296)))+ROW()/100000,"")</f>
        <v/>
      </c>
      <c r="U296" s="9" t="n">
        <f aca="false">IF(N(K296)&gt;0,N(L296),0)</f>
        <v>0</v>
      </c>
      <c r="V296" s="9" t="n">
        <f aca="false">IF(AND(N(K296)&gt;0,ISNUMBER(M296)),M296-Setup!$C$11,99999)</f>
        <v>99999</v>
      </c>
    </row>
    <row r="297" customFormat="false" ht="15" hidden="false" customHeight="false" outlineLevel="0" collapsed="false">
      <c r="A297" s="40" t="str">
        <f aca="false">IF(D297="","",ROW()-7)</f>
        <v/>
      </c>
      <c r="B297" s="79"/>
      <c r="C297" s="75"/>
      <c r="D297" s="76"/>
      <c r="E297" s="80"/>
      <c r="F297" s="79"/>
      <c r="G297" s="76"/>
      <c r="H297" s="54" t="str">
        <f aca="false">IF(OR(D297="",B297=""),"",IF(F297&lt;&gt;"",F297,B297+IFERROR(INDEX(Suppliers!$Q$7:$Q$106,MATCH(D297,Suppliers!$B$7:$B$106,0)),Setup!$C$7)))</f>
        <v/>
      </c>
      <c r="I297" s="46" t="str">
        <f aca="false">IF(OR(D297="",C297=""),IF(D297="","",0),SUMIFS(Payments!$D$8:$D$507,Payments!$C$8:$C$507,D297,Payments!$F$8:$F$507,C297))</f>
        <v/>
      </c>
      <c r="J297" s="46" t="str">
        <f aca="false">IF(D297="","",MIN(P297,MAX(0,R297-Q297)))</f>
        <v/>
      </c>
      <c r="K297" s="47" t="str">
        <f aca="false">IF(D297="","",P297-J297)</f>
        <v/>
      </c>
      <c r="L297" s="55" t="str">
        <f aca="false">IF(OR(D297="",N(K297)&lt;=0,H297=""),"",MAX(0,Setup!$C$11-H297))</f>
        <v/>
      </c>
      <c r="M297" s="54" t="str">
        <f aca="false">IF(OR(D297="",B297=""),"",IF(IFERROR(INDEX(Suppliers!$S$7:$S$106,MATCH(D297,Suppliers!$B$7:$B$106,0)),"")="","–",B297+IFERROR(INDEX(Suppliers!$S$7:$S$106,MATCH(D297,Suppliers!$B$7:$B$106,0)),"")))</f>
        <v/>
      </c>
      <c r="N297" s="56" t="str">
        <f aca="false">IF(D297="","",IF(N(K297)&lt;=0,"Paid",IF(AND(ISNUMBER(M297),Setup!$C$11&gt;M297),"⚠ MSME late",IF(N(L297)&gt;0,"Overdue",IF(N(V297)&lt;=Setup!$C$9,"⚠ MSME due soon",IF(K297&lt;E297,"Part paid","Not due"))))))</f>
        <v/>
      </c>
      <c r="O297" s="50" t="str">
        <f aca="false">IF(AND(D297="",B297="",C297="",E297=""),"",IF(D297="","⚠ Pick supplier",IF(ISNA(MATCH(D297,Suppliers!$B$7:$B$106,0)),"⚠ Supplier not in list",IF(B297="","⚠ Enter bill date",IF(N(E297)&lt;=0,"⚠ Enter amount",IF(AND(C297&lt;&gt;"",COUNTIFS($D$8:$D$507,D297,$C$8:$C$507,C297)&gt;1),"⚠ Bill no. used twice",IF(N(I297)&gt;N(E297),"⚠ Paid more than bill","✔")))))))</f>
        <v/>
      </c>
      <c r="P297" s="9" t="n">
        <f aca="false">IF(D297="",0,MAX(0,N(E297)-N(I297)))</f>
        <v>0</v>
      </c>
      <c r="Q297" s="9" t="n">
        <f aca="false">IF(D297="",0,SUMIFS($P$8:$P$507,$D$8:$D$507,D297,$B$8:$B$507,"&lt;"&amp;B297)+SUMIFS($P$8:P296,$D$8:D296,D297,$B$8:B296,B297))</f>
        <v>0</v>
      </c>
      <c r="R297" s="9" t="n">
        <f aca="false">IF(D297="",0,IFERROR(INDEX(Suppliers!$R$7:$R$106,MATCH(D297,Suppliers!$B$7:$B$106,0)),0))</f>
        <v>0</v>
      </c>
      <c r="S297" s="9" t="str">
        <f aca="false">IF(N(K297)&gt;0,IF(H297="",99999,MIN(H297,IF(ISNUMBER(M297),M297,H297)))+ROW()/100000,"")</f>
        <v/>
      </c>
      <c r="U297" s="9" t="n">
        <f aca="false">IF(N(K297)&gt;0,N(L297),0)</f>
        <v>0</v>
      </c>
      <c r="V297" s="9" t="n">
        <f aca="false">IF(AND(N(K297)&gt;0,ISNUMBER(M297)),M297-Setup!$C$11,99999)</f>
        <v>99999</v>
      </c>
    </row>
    <row r="298" customFormat="false" ht="15" hidden="false" customHeight="false" outlineLevel="0" collapsed="false">
      <c r="A298" s="40" t="str">
        <f aca="false">IF(D298="","",ROW()-7)</f>
        <v/>
      </c>
      <c r="B298" s="79"/>
      <c r="C298" s="75"/>
      <c r="D298" s="76"/>
      <c r="E298" s="80"/>
      <c r="F298" s="79"/>
      <c r="G298" s="76"/>
      <c r="H298" s="54" t="str">
        <f aca="false">IF(OR(D298="",B298=""),"",IF(F298&lt;&gt;"",F298,B298+IFERROR(INDEX(Suppliers!$Q$7:$Q$106,MATCH(D298,Suppliers!$B$7:$B$106,0)),Setup!$C$7)))</f>
        <v/>
      </c>
      <c r="I298" s="46" t="str">
        <f aca="false">IF(OR(D298="",C298=""),IF(D298="","",0),SUMIFS(Payments!$D$8:$D$507,Payments!$C$8:$C$507,D298,Payments!$F$8:$F$507,C298))</f>
        <v/>
      </c>
      <c r="J298" s="46" t="str">
        <f aca="false">IF(D298="","",MIN(P298,MAX(0,R298-Q298)))</f>
        <v/>
      </c>
      <c r="K298" s="47" t="str">
        <f aca="false">IF(D298="","",P298-J298)</f>
        <v/>
      </c>
      <c r="L298" s="55" t="str">
        <f aca="false">IF(OR(D298="",N(K298)&lt;=0,H298=""),"",MAX(0,Setup!$C$11-H298))</f>
        <v/>
      </c>
      <c r="M298" s="54" t="str">
        <f aca="false">IF(OR(D298="",B298=""),"",IF(IFERROR(INDEX(Suppliers!$S$7:$S$106,MATCH(D298,Suppliers!$B$7:$B$106,0)),"")="","–",B298+IFERROR(INDEX(Suppliers!$S$7:$S$106,MATCH(D298,Suppliers!$B$7:$B$106,0)),"")))</f>
        <v/>
      </c>
      <c r="N298" s="56" t="str">
        <f aca="false">IF(D298="","",IF(N(K298)&lt;=0,"Paid",IF(AND(ISNUMBER(M298),Setup!$C$11&gt;M298),"⚠ MSME late",IF(N(L298)&gt;0,"Overdue",IF(N(V298)&lt;=Setup!$C$9,"⚠ MSME due soon",IF(K298&lt;E298,"Part paid","Not due"))))))</f>
        <v/>
      </c>
      <c r="O298" s="50" t="str">
        <f aca="false">IF(AND(D298="",B298="",C298="",E298=""),"",IF(D298="","⚠ Pick supplier",IF(ISNA(MATCH(D298,Suppliers!$B$7:$B$106,0)),"⚠ Supplier not in list",IF(B298="","⚠ Enter bill date",IF(N(E298)&lt;=0,"⚠ Enter amount",IF(AND(C298&lt;&gt;"",COUNTIFS($D$8:$D$507,D298,$C$8:$C$507,C298)&gt;1),"⚠ Bill no. used twice",IF(N(I298)&gt;N(E298),"⚠ Paid more than bill","✔")))))))</f>
        <v/>
      </c>
      <c r="P298" s="9" t="n">
        <f aca="false">IF(D298="",0,MAX(0,N(E298)-N(I298)))</f>
        <v>0</v>
      </c>
      <c r="Q298" s="9" t="n">
        <f aca="false">IF(D298="",0,SUMIFS($P$8:$P$507,$D$8:$D$507,D298,$B$8:$B$507,"&lt;"&amp;B298)+SUMIFS($P$8:P297,$D$8:D297,D298,$B$8:B297,B298))</f>
        <v>0</v>
      </c>
      <c r="R298" s="9" t="n">
        <f aca="false">IF(D298="",0,IFERROR(INDEX(Suppliers!$R$7:$R$106,MATCH(D298,Suppliers!$B$7:$B$106,0)),0))</f>
        <v>0</v>
      </c>
      <c r="S298" s="9" t="str">
        <f aca="false">IF(N(K298)&gt;0,IF(H298="",99999,MIN(H298,IF(ISNUMBER(M298),M298,H298)))+ROW()/100000,"")</f>
        <v/>
      </c>
      <c r="U298" s="9" t="n">
        <f aca="false">IF(N(K298)&gt;0,N(L298),0)</f>
        <v>0</v>
      </c>
      <c r="V298" s="9" t="n">
        <f aca="false">IF(AND(N(K298)&gt;0,ISNUMBER(M298)),M298-Setup!$C$11,99999)</f>
        <v>99999</v>
      </c>
    </row>
    <row r="299" customFormat="false" ht="15" hidden="false" customHeight="false" outlineLevel="0" collapsed="false">
      <c r="A299" s="40" t="str">
        <f aca="false">IF(D299="","",ROW()-7)</f>
        <v/>
      </c>
      <c r="B299" s="79"/>
      <c r="C299" s="75"/>
      <c r="D299" s="76"/>
      <c r="E299" s="80"/>
      <c r="F299" s="79"/>
      <c r="G299" s="76"/>
      <c r="H299" s="54" t="str">
        <f aca="false">IF(OR(D299="",B299=""),"",IF(F299&lt;&gt;"",F299,B299+IFERROR(INDEX(Suppliers!$Q$7:$Q$106,MATCH(D299,Suppliers!$B$7:$B$106,0)),Setup!$C$7)))</f>
        <v/>
      </c>
      <c r="I299" s="46" t="str">
        <f aca="false">IF(OR(D299="",C299=""),IF(D299="","",0),SUMIFS(Payments!$D$8:$D$507,Payments!$C$8:$C$507,D299,Payments!$F$8:$F$507,C299))</f>
        <v/>
      </c>
      <c r="J299" s="46" t="str">
        <f aca="false">IF(D299="","",MIN(P299,MAX(0,R299-Q299)))</f>
        <v/>
      </c>
      <c r="K299" s="47" t="str">
        <f aca="false">IF(D299="","",P299-J299)</f>
        <v/>
      </c>
      <c r="L299" s="55" t="str">
        <f aca="false">IF(OR(D299="",N(K299)&lt;=0,H299=""),"",MAX(0,Setup!$C$11-H299))</f>
        <v/>
      </c>
      <c r="M299" s="54" t="str">
        <f aca="false">IF(OR(D299="",B299=""),"",IF(IFERROR(INDEX(Suppliers!$S$7:$S$106,MATCH(D299,Suppliers!$B$7:$B$106,0)),"")="","–",B299+IFERROR(INDEX(Suppliers!$S$7:$S$106,MATCH(D299,Suppliers!$B$7:$B$106,0)),"")))</f>
        <v/>
      </c>
      <c r="N299" s="56" t="str">
        <f aca="false">IF(D299="","",IF(N(K299)&lt;=0,"Paid",IF(AND(ISNUMBER(M299),Setup!$C$11&gt;M299),"⚠ MSME late",IF(N(L299)&gt;0,"Overdue",IF(N(V299)&lt;=Setup!$C$9,"⚠ MSME due soon",IF(K299&lt;E299,"Part paid","Not due"))))))</f>
        <v/>
      </c>
      <c r="O299" s="50" t="str">
        <f aca="false">IF(AND(D299="",B299="",C299="",E299=""),"",IF(D299="","⚠ Pick supplier",IF(ISNA(MATCH(D299,Suppliers!$B$7:$B$106,0)),"⚠ Supplier not in list",IF(B299="","⚠ Enter bill date",IF(N(E299)&lt;=0,"⚠ Enter amount",IF(AND(C299&lt;&gt;"",COUNTIFS($D$8:$D$507,D299,$C$8:$C$507,C299)&gt;1),"⚠ Bill no. used twice",IF(N(I299)&gt;N(E299),"⚠ Paid more than bill","✔")))))))</f>
        <v/>
      </c>
      <c r="P299" s="9" t="n">
        <f aca="false">IF(D299="",0,MAX(0,N(E299)-N(I299)))</f>
        <v>0</v>
      </c>
      <c r="Q299" s="9" t="n">
        <f aca="false">IF(D299="",0,SUMIFS($P$8:$P$507,$D$8:$D$507,D299,$B$8:$B$507,"&lt;"&amp;B299)+SUMIFS($P$8:P298,$D$8:D298,D299,$B$8:B298,B299))</f>
        <v>0</v>
      </c>
      <c r="R299" s="9" t="n">
        <f aca="false">IF(D299="",0,IFERROR(INDEX(Suppliers!$R$7:$R$106,MATCH(D299,Suppliers!$B$7:$B$106,0)),0))</f>
        <v>0</v>
      </c>
      <c r="S299" s="9" t="str">
        <f aca="false">IF(N(K299)&gt;0,IF(H299="",99999,MIN(H299,IF(ISNUMBER(M299),M299,H299)))+ROW()/100000,"")</f>
        <v/>
      </c>
      <c r="U299" s="9" t="n">
        <f aca="false">IF(N(K299)&gt;0,N(L299),0)</f>
        <v>0</v>
      </c>
      <c r="V299" s="9" t="n">
        <f aca="false">IF(AND(N(K299)&gt;0,ISNUMBER(M299)),M299-Setup!$C$11,99999)</f>
        <v>99999</v>
      </c>
    </row>
    <row r="300" customFormat="false" ht="15" hidden="false" customHeight="false" outlineLevel="0" collapsed="false">
      <c r="A300" s="40" t="str">
        <f aca="false">IF(D300="","",ROW()-7)</f>
        <v/>
      </c>
      <c r="B300" s="79"/>
      <c r="C300" s="75"/>
      <c r="D300" s="76"/>
      <c r="E300" s="80"/>
      <c r="F300" s="79"/>
      <c r="G300" s="76"/>
      <c r="H300" s="54" t="str">
        <f aca="false">IF(OR(D300="",B300=""),"",IF(F300&lt;&gt;"",F300,B300+IFERROR(INDEX(Suppliers!$Q$7:$Q$106,MATCH(D300,Suppliers!$B$7:$B$106,0)),Setup!$C$7)))</f>
        <v/>
      </c>
      <c r="I300" s="46" t="str">
        <f aca="false">IF(OR(D300="",C300=""),IF(D300="","",0),SUMIFS(Payments!$D$8:$D$507,Payments!$C$8:$C$507,D300,Payments!$F$8:$F$507,C300))</f>
        <v/>
      </c>
      <c r="J300" s="46" t="str">
        <f aca="false">IF(D300="","",MIN(P300,MAX(0,R300-Q300)))</f>
        <v/>
      </c>
      <c r="K300" s="47" t="str">
        <f aca="false">IF(D300="","",P300-J300)</f>
        <v/>
      </c>
      <c r="L300" s="55" t="str">
        <f aca="false">IF(OR(D300="",N(K300)&lt;=0,H300=""),"",MAX(0,Setup!$C$11-H300))</f>
        <v/>
      </c>
      <c r="M300" s="54" t="str">
        <f aca="false">IF(OR(D300="",B300=""),"",IF(IFERROR(INDEX(Suppliers!$S$7:$S$106,MATCH(D300,Suppliers!$B$7:$B$106,0)),"")="","–",B300+IFERROR(INDEX(Suppliers!$S$7:$S$106,MATCH(D300,Suppliers!$B$7:$B$106,0)),"")))</f>
        <v/>
      </c>
      <c r="N300" s="56" t="str">
        <f aca="false">IF(D300="","",IF(N(K300)&lt;=0,"Paid",IF(AND(ISNUMBER(M300),Setup!$C$11&gt;M300),"⚠ MSME late",IF(N(L300)&gt;0,"Overdue",IF(N(V300)&lt;=Setup!$C$9,"⚠ MSME due soon",IF(K300&lt;E300,"Part paid","Not due"))))))</f>
        <v/>
      </c>
      <c r="O300" s="50" t="str">
        <f aca="false">IF(AND(D300="",B300="",C300="",E300=""),"",IF(D300="","⚠ Pick supplier",IF(ISNA(MATCH(D300,Suppliers!$B$7:$B$106,0)),"⚠ Supplier not in list",IF(B300="","⚠ Enter bill date",IF(N(E300)&lt;=0,"⚠ Enter amount",IF(AND(C300&lt;&gt;"",COUNTIFS($D$8:$D$507,D300,$C$8:$C$507,C300)&gt;1),"⚠ Bill no. used twice",IF(N(I300)&gt;N(E300),"⚠ Paid more than bill","✔")))))))</f>
        <v/>
      </c>
      <c r="P300" s="9" t="n">
        <f aca="false">IF(D300="",0,MAX(0,N(E300)-N(I300)))</f>
        <v>0</v>
      </c>
      <c r="Q300" s="9" t="n">
        <f aca="false">IF(D300="",0,SUMIFS($P$8:$P$507,$D$8:$D$507,D300,$B$8:$B$507,"&lt;"&amp;B300)+SUMIFS($P$8:P299,$D$8:D299,D300,$B$8:B299,B300))</f>
        <v>0</v>
      </c>
      <c r="R300" s="9" t="n">
        <f aca="false">IF(D300="",0,IFERROR(INDEX(Suppliers!$R$7:$R$106,MATCH(D300,Suppliers!$B$7:$B$106,0)),0))</f>
        <v>0</v>
      </c>
      <c r="S300" s="9" t="str">
        <f aca="false">IF(N(K300)&gt;0,IF(H300="",99999,MIN(H300,IF(ISNUMBER(M300),M300,H300)))+ROW()/100000,"")</f>
        <v/>
      </c>
      <c r="U300" s="9" t="n">
        <f aca="false">IF(N(K300)&gt;0,N(L300),0)</f>
        <v>0</v>
      </c>
      <c r="V300" s="9" t="n">
        <f aca="false">IF(AND(N(K300)&gt;0,ISNUMBER(M300)),M300-Setup!$C$11,99999)</f>
        <v>99999</v>
      </c>
    </row>
    <row r="301" customFormat="false" ht="15" hidden="false" customHeight="false" outlineLevel="0" collapsed="false">
      <c r="A301" s="40" t="str">
        <f aca="false">IF(D301="","",ROW()-7)</f>
        <v/>
      </c>
      <c r="B301" s="79"/>
      <c r="C301" s="75"/>
      <c r="D301" s="76"/>
      <c r="E301" s="80"/>
      <c r="F301" s="79"/>
      <c r="G301" s="76"/>
      <c r="H301" s="54" t="str">
        <f aca="false">IF(OR(D301="",B301=""),"",IF(F301&lt;&gt;"",F301,B301+IFERROR(INDEX(Suppliers!$Q$7:$Q$106,MATCH(D301,Suppliers!$B$7:$B$106,0)),Setup!$C$7)))</f>
        <v/>
      </c>
      <c r="I301" s="46" t="str">
        <f aca="false">IF(OR(D301="",C301=""),IF(D301="","",0),SUMIFS(Payments!$D$8:$D$507,Payments!$C$8:$C$507,D301,Payments!$F$8:$F$507,C301))</f>
        <v/>
      </c>
      <c r="J301" s="46" t="str">
        <f aca="false">IF(D301="","",MIN(P301,MAX(0,R301-Q301)))</f>
        <v/>
      </c>
      <c r="K301" s="47" t="str">
        <f aca="false">IF(D301="","",P301-J301)</f>
        <v/>
      </c>
      <c r="L301" s="55" t="str">
        <f aca="false">IF(OR(D301="",N(K301)&lt;=0,H301=""),"",MAX(0,Setup!$C$11-H301))</f>
        <v/>
      </c>
      <c r="M301" s="54" t="str">
        <f aca="false">IF(OR(D301="",B301=""),"",IF(IFERROR(INDEX(Suppliers!$S$7:$S$106,MATCH(D301,Suppliers!$B$7:$B$106,0)),"")="","–",B301+IFERROR(INDEX(Suppliers!$S$7:$S$106,MATCH(D301,Suppliers!$B$7:$B$106,0)),"")))</f>
        <v/>
      </c>
      <c r="N301" s="56" t="str">
        <f aca="false">IF(D301="","",IF(N(K301)&lt;=0,"Paid",IF(AND(ISNUMBER(M301),Setup!$C$11&gt;M301),"⚠ MSME late",IF(N(L301)&gt;0,"Overdue",IF(N(V301)&lt;=Setup!$C$9,"⚠ MSME due soon",IF(K301&lt;E301,"Part paid","Not due"))))))</f>
        <v/>
      </c>
      <c r="O301" s="50" t="str">
        <f aca="false">IF(AND(D301="",B301="",C301="",E301=""),"",IF(D301="","⚠ Pick supplier",IF(ISNA(MATCH(D301,Suppliers!$B$7:$B$106,0)),"⚠ Supplier not in list",IF(B301="","⚠ Enter bill date",IF(N(E301)&lt;=0,"⚠ Enter amount",IF(AND(C301&lt;&gt;"",COUNTIFS($D$8:$D$507,D301,$C$8:$C$507,C301)&gt;1),"⚠ Bill no. used twice",IF(N(I301)&gt;N(E301),"⚠ Paid more than bill","✔")))))))</f>
        <v/>
      </c>
      <c r="P301" s="9" t="n">
        <f aca="false">IF(D301="",0,MAX(0,N(E301)-N(I301)))</f>
        <v>0</v>
      </c>
      <c r="Q301" s="9" t="n">
        <f aca="false">IF(D301="",0,SUMIFS($P$8:$P$507,$D$8:$D$507,D301,$B$8:$B$507,"&lt;"&amp;B301)+SUMIFS($P$8:P300,$D$8:D300,D301,$B$8:B300,B301))</f>
        <v>0</v>
      </c>
      <c r="R301" s="9" t="n">
        <f aca="false">IF(D301="",0,IFERROR(INDEX(Suppliers!$R$7:$R$106,MATCH(D301,Suppliers!$B$7:$B$106,0)),0))</f>
        <v>0</v>
      </c>
      <c r="S301" s="9" t="str">
        <f aca="false">IF(N(K301)&gt;0,IF(H301="",99999,MIN(H301,IF(ISNUMBER(M301),M301,H301)))+ROW()/100000,"")</f>
        <v/>
      </c>
      <c r="U301" s="9" t="n">
        <f aca="false">IF(N(K301)&gt;0,N(L301),0)</f>
        <v>0</v>
      </c>
      <c r="V301" s="9" t="n">
        <f aca="false">IF(AND(N(K301)&gt;0,ISNUMBER(M301)),M301-Setup!$C$11,99999)</f>
        <v>99999</v>
      </c>
    </row>
    <row r="302" customFormat="false" ht="15" hidden="false" customHeight="false" outlineLevel="0" collapsed="false">
      <c r="A302" s="40" t="str">
        <f aca="false">IF(D302="","",ROW()-7)</f>
        <v/>
      </c>
      <c r="B302" s="79"/>
      <c r="C302" s="75"/>
      <c r="D302" s="76"/>
      <c r="E302" s="80"/>
      <c r="F302" s="79"/>
      <c r="G302" s="76"/>
      <c r="H302" s="54" t="str">
        <f aca="false">IF(OR(D302="",B302=""),"",IF(F302&lt;&gt;"",F302,B302+IFERROR(INDEX(Suppliers!$Q$7:$Q$106,MATCH(D302,Suppliers!$B$7:$B$106,0)),Setup!$C$7)))</f>
        <v/>
      </c>
      <c r="I302" s="46" t="str">
        <f aca="false">IF(OR(D302="",C302=""),IF(D302="","",0),SUMIFS(Payments!$D$8:$D$507,Payments!$C$8:$C$507,D302,Payments!$F$8:$F$507,C302))</f>
        <v/>
      </c>
      <c r="J302" s="46" t="str">
        <f aca="false">IF(D302="","",MIN(P302,MAX(0,R302-Q302)))</f>
        <v/>
      </c>
      <c r="K302" s="47" t="str">
        <f aca="false">IF(D302="","",P302-J302)</f>
        <v/>
      </c>
      <c r="L302" s="55" t="str">
        <f aca="false">IF(OR(D302="",N(K302)&lt;=0,H302=""),"",MAX(0,Setup!$C$11-H302))</f>
        <v/>
      </c>
      <c r="M302" s="54" t="str">
        <f aca="false">IF(OR(D302="",B302=""),"",IF(IFERROR(INDEX(Suppliers!$S$7:$S$106,MATCH(D302,Suppliers!$B$7:$B$106,0)),"")="","–",B302+IFERROR(INDEX(Suppliers!$S$7:$S$106,MATCH(D302,Suppliers!$B$7:$B$106,0)),"")))</f>
        <v/>
      </c>
      <c r="N302" s="56" t="str">
        <f aca="false">IF(D302="","",IF(N(K302)&lt;=0,"Paid",IF(AND(ISNUMBER(M302),Setup!$C$11&gt;M302),"⚠ MSME late",IF(N(L302)&gt;0,"Overdue",IF(N(V302)&lt;=Setup!$C$9,"⚠ MSME due soon",IF(K302&lt;E302,"Part paid","Not due"))))))</f>
        <v/>
      </c>
      <c r="O302" s="50" t="str">
        <f aca="false">IF(AND(D302="",B302="",C302="",E302=""),"",IF(D302="","⚠ Pick supplier",IF(ISNA(MATCH(D302,Suppliers!$B$7:$B$106,0)),"⚠ Supplier not in list",IF(B302="","⚠ Enter bill date",IF(N(E302)&lt;=0,"⚠ Enter amount",IF(AND(C302&lt;&gt;"",COUNTIFS($D$8:$D$507,D302,$C$8:$C$507,C302)&gt;1),"⚠ Bill no. used twice",IF(N(I302)&gt;N(E302),"⚠ Paid more than bill","✔")))))))</f>
        <v/>
      </c>
      <c r="P302" s="9" t="n">
        <f aca="false">IF(D302="",0,MAX(0,N(E302)-N(I302)))</f>
        <v>0</v>
      </c>
      <c r="Q302" s="9" t="n">
        <f aca="false">IF(D302="",0,SUMIFS($P$8:$P$507,$D$8:$D$507,D302,$B$8:$B$507,"&lt;"&amp;B302)+SUMIFS($P$8:P301,$D$8:D301,D302,$B$8:B301,B302))</f>
        <v>0</v>
      </c>
      <c r="R302" s="9" t="n">
        <f aca="false">IF(D302="",0,IFERROR(INDEX(Suppliers!$R$7:$R$106,MATCH(D302,Suppliers!$B$7:$B$106,0)),0))</f>
        <v>0</v>
      </c>
      <c r="S302" s="9" t="str">
        <f aca="false">IF(N(K302)&gt;0,IF(H302="",99999,MIN(H302,IF(ISNUMBER(M302),M302,H302)))+ROW()/100000,"")</f>
        <v/>
      </c>
      <c r="U302" s="9" t="n">
        <f aca="false">IF(N(K302)&gt;0,N(L302),0)</f>
        <v>0</v>
      </c>
      <c r="V302" s="9" t="n">
        <f aca="false">IF(AND(N(K302)&gt;0,ISNUMBER(M302)),M302-Setup!$C$11,99999)</f>
        <v>99999</v>
      </c>
    </row>
    <row r="303" customFormat="false" ht="15" hidden="false" customHeight="false" outlineLevel="0" collapsed="false">
      <c r="A303" s="40" t="str">
        <f aca="false">IF(D303="","",ROW()-7)</f>
        <v/>
      </c>
      <c r="B303" s="79"/>
      <c r="C303" s="75"/>
      <c r="D303" s="76"/>
      <c r="E303" s="80"/>
      <c r="F303" s="79"/>
      <c r="G303" s="76"/>
      <c r="H303" s="54" t="str">
        <f aca="false">IF(OR(D303="",B303=""),"",IF(F303&lt;&gt;"",F303,B303+IFERROR(INDEX(Suppliers!$Q$7:$Q$106,MATCH(D303,Suppliers!$B$7:$B$106,0)),Setup!$C$7)))</f>
        <v/>
      </c>
      <c r="I303" s="46" t="str">
        <f aca="false">IF(OR(D303="",C303=""),IF(D303="","",0),SUMIFS(Payments!$D$8:$D$507,Payments!$C$8:$C$507,D303,Payments!$F$8:$F$507,C303))</f>
        <v/>
      </c>
      <c r="J303" s="46" t="str">
        <f aca="false">IF(D303="","",MIN(P303,MAX(0,R303-Q303)))</f>
        <v/>
      </c>
      <c r="K303" s="47" t="str">
        <f aca="false">IF(D303="","",P303-J303)</f>
        <v/>
      </c>
      <c r="L303" s="55" t="str">
        <f aca="false">IF(OR(D303="",N(K303)&lt;=0,H303=""),"",MAX(0,Setup!$C$11-H303))</f>
        <v/>
      </c>
      <c r="M303" s="54" t="str">
        <f aca="false">IF(OR(D303="",B303=""),"",IF(IFERROR(INDEX(Suppliers!$S$7:$S$106,MATCH(D303,Suppliers!$B$7:$B$106,0)),"")="","–",B303+IFERROR(INDEX(Suppliers!$S$7:$S$106,MATCH(D303,Suppliers!$B$7:$B$106,0)),"")))</f>
        <v/>
      </c>
      <c r="N303" s="56" t="str">
        <f aca="false">IF(D303="","",IF(N(K303)&lt;=0,"Paid",IF(AND(ISNUMBER(M303),Setup!$C$11&gt;M303),"⚠ MSME late",IF(N(L303)&gt;0,"Overdue",IF(N(V303)&lt;=Setup!$C$9,"⚠ MSME due soon",IF(K303&lt;E303,"Part paid","Not due"))))))</f>
        <v/>
      </c>
      <c r="O303" s="50" t="str">
        <f aca="false">IF(AND(D303="",B303="",C303="",E303=""),"",IF(D303="","⚠ Pick supplier",IF(ISNA(MATCH(D303,Suppliers!$B$7:$B$106,0)),"⚠ Supplier not in list",IF(B303="","⚠ Enter bill date",IF(N(E303)&lt;=0,"⚠ Enter amount",IF(AND(C303&lt;&gt;"",COUNTIFS($D$8:$D$507,D303,$C$8:$C$507,C303)&gt;1),"⚠ Bill no. used twice",IF(N(I303)&gt;N(E303),"⚠ Paid more than bill","✔")))))))</f>
        <v/>
      </c>
      <c r="P303" s="9" t="n">
        <f aca="false">IF(D303="",0,MAX(0,N(E303)-N(I303)))</f>
        <v>0</v>
      </c>
      <c r="Q303" s="9" t="n">
        <f aca="false">IF(D303="",0,SUMIFS($P$8:$P$507,$D$8:$D$507,D303,$B$8:$B$507,"&lt;"&amp;B303)+SUMIFS($P$8:P302,$D$8:D302,D303,$B$8:B302,B303))</f>
        <v>0</v>
      </c>
      <c r="R303" s="9" t="n">
        <f aca="false">IF(D303="",0,IFERROR(INDEX(Suppliers!$R$7:$R$106,MATCH(D303,Suppliers!$B$7:$B$106,0)),0))</f>
        <v>0</v>
      </c>
      <c r="S303" s="9" t="str">
        <f aca="false">IF(N(K303)&gt;0,IF(H303="",99999,MIN(H303,IF(ISNUMBER(M303),M303,H303)))+ROW()/100000,"")</f>
        <v/>
      </c>
      <c r="U303" s="9" t="n">
        <f aca="false">IF(N(K303)&gt;0,N(L303),0)</f>
        <v>0</v>
      </c>
      <c r="V303" s="9" t="n">
        <f aca="false">IF(AND(N(K303)&gt;0,ISNUMBER(M303)),M303-Setup!$C$11,99999)</f>
        <v>99999</v>
      </c>
    </row>
    <row r="304" customFormat="false" ht="15" hidden="false" customHeight="false" outlineLevel="0" collapsed="false">
      <c r="A304" s="40" t="str">
        <f aca="false">IF(D304="","",ROW()-7)</f>
        <v/>
      </c>
      <c r="B304" s="79"/>
      <c r="C304" s="75"/>
      <c r="D304" s="76"/>
      <c r="E304" s="80"/>
      <c r="F304" s="79"/>
      <c r="G304" s="76"/>
      <c r="H304" s="54" t="str">
        <f aca="false">IF(OR(D304="",B304=""),"",IF(F304&lt;&gt;"",F304,B304+IFERROR(INDEX(Suppliers!$Q$7:$Q$106,MATCH(D304,Suppliers!$B$7:$B$106,0)),Setup!$C$7)))</f>
        <v/>
      </c>
      <c r="I304" s="46" t="str">
        <f aca="false">IF(OR(D304="",C304=""),IF(D304="","",0),SUMIFS(Payments!$D$8:$D$507,Payments!$C$8:$C$507,D304,Payments!$F$8:$F$507,C304))</f>
        <v/>
      </c>
      <c r="J304" s="46" t="str">
        <f aca="false">IF(D304="","",MIN(P304,MAX(0,R304-Q304)))</f>
        <v/>
      </c>
      <c r="K304" s="47" t="str">
        <f aca="false">IF(D304="","",P304-J304)</f>
        <v/>
      </c>
      <c r="L304" s="55" t="str">
        <f aca="false">IF(OR(D304="",N(K304)&lt;=0,H304=""),"",MAX(0,Setup!$C$11-H304))</f>
        <v/>
      </c>
      <c r="M304" s="54" t="str">
        <f aca="false">IF(OR(D304="",B304=""),"",IF(IFERROR(INDEX(Suppliers!$S$7:$S$106,MATCH(D304,Suppliers!$B$7:$B$106,0)),"")="","–",B304+IFERROR(INDEX(Suppliers!$S$7:$S$106,MATCH(D304,Suppliers!$B$7:$B$106,0)),"")))</f>
        <v/>
      </c>
      <c r="N304" s="56" t="str">
        <f aca="false">IF(D304="","",IF(N(K304)&lt;=0,"Paid",IF(AND(ISNUMBER(M304),Setup!$C$11&gt;M304),"⚠ MSME late",IF(N(L304)&gt;0,"Overdue",IF(N(V304)&lt;=Setup!$C$9,"⚠ MSME due soon",IF(K304&lt;E304,"Part paid","Not due"))))))</f>
        <v/>
      </c>
      <c r="O304" s="50" t="str">
        <f aca="false">IF(AND(D304="",B304="",C304="",E304=""),"",IF(D304="","⚠ Pick supplier",IF(ISNA(MATCH(D304,Suppliers!$B$7:$B$106,0)),"⚠ Supplier not in list",IF(B304="","⚠ Enter bill date",IF(N(E304)&lt;=0,"⚠ Enter amount",IF(AND(C304&lt;&gt;"",COUNTIFS($D$8:$D$507,D304,$C$8:$C$507,C304)&gt;1),"⚠ Bill no. used twice",IF(N(I304)&gt;N(E304),"⚠ Paid more than bill","✔")))))))</f>
        <v/>
      </c>
      <c r="P304" s="9" t="n">
        <f aca="false">IF(D304="",0,MAX(0,N(E304)-N(I304)))</f>
        <v>0</v>
      </c>
      <c r="Q304" s="9" t="n">
        <f aca="false">IF(D304="",0,SUMIFS($P$8:$P$507,$D$8:$D$507,D304,$B$8:$B$507,"&lt;"&amp;B304)+SUMIFS($P$8:P303,$D$8:D303,D304,$B$8:B303,B304))</f>
        <v>0</v>
      </c>
      <c r="R304" s="9" t="n">
        <f aca="false">IF(D304="",0,IFERROR(INDEX(Suppliers!$R$7:$R$106,MATCH(D304,Suppliers!$B$7:$B$106,0)),0))</f>
        <v>0</v>
      </c>
      <c r="S304" s="9" t="str">
        <f aca="false">IF(N(K304)&gt;0,IF(H304="",99999,MIN(H304,IF(ISNUMBER(M304),M304,H304)))+ROW()/100000,"")</f>
        <v/>
      </c>
      <c r="U304" s="9" t="n">
        <f aca="false">IF(N(K304)&gt;0,N(L304),0)</f>
        <v>0</v>
      </c>
      <c r="V304" s="9" t="n">
        <f aca="false">IF(AND(N(K304)&gt;0,ISNUMBER(M304)),M304-Setup!$C$11,99999)</f>
        <v>99999</v>
      </c>
    </row>
    <row r="305" customFormat="false" ht="15" hidden="false" customHeight="false" outlineLevel="0" collapsed="false">
      <c r="A305" s="40" t="str">
        <f aca="false">IF(D305="","",ROW()-7)</f>
        <v/>
      </c>
      <c r="B305" s="79"/>
      <c r="C305" s="75"/>
      <c r="D305" s="76"/>
      <c r="E305" s="80"/>
      <c r="F305" s="79"/>
      <c r="G305" s="76"/>
      <c r="H305" s="54" t="str">
        <f aca="false">IF(OR(D305="",B305=""),"",IF(F305&lt;&gt;"",F305,B305+IFERROR(INDEX(Suppliers!$Q$7:$Q$106,MATCH(D305,Suppliers!$B$7:$B$106,0)),Setup!$C$7)))</f>
        <v/>
      </c>
      <c r="I305" s="46" t="str">
        <f aca="false">IF(OR(D305="",C305=""),IF(D305="","",0),SUMIFS(Payments!$D$8:$D$507,Payments!$C$8:$C$507,D305,Payments!$F$8:$F$507,C305))</f>
        <v/>
      </c>
      <c r="J305" s="46" t="str">
        <f aca="false">IF(D305="","",MIN(P305,MAX(0,R305-Q305)))</f>
        <v/>
      </c>
      <c r="K305" s="47" t="str">
        <f aca="false">IF(D305="","",P305-J305)</f>
        <v/>
      </c>
      <c r="L305" s="55" t="str">
        <f aca="false">IF(OR(D305="",N(K305)&lt;=0,H305=""),"",MAX(0,Setup!$C$11-H305))</f>
        <v/>
      </c>
      <c r="M305" s="54" t="str">
        <f aca="false">IF(OR(D305="",B305=""),"",IF(IFERROR(INDEX(Suppliers!$S$7:$S$106,MATCH(D305,Suppliers!$B$7:$B$106,0)),"")="","–",B305+IFERROR(INDEX(Suppliers!$S$7:$S$106,MATCH(D305,Suppliers!$B$7:$B$106,0)),"")))</f>
        <v/>
      </c>
      <c r="N305" s="56" t="str">
        <f aca="false">IF(D305="","",IF(N(K305)&lt;=0,"Paid",IF(AND(ISNUMBER(M305),Setup!$C$11&gt;M305),"⚠ MSME late",IF(N(L305)&gt;0,"Overdue",IF(N(V305)&lt;=Setup!$C$9,"⚠ MSME due soon",IF(K305&lt;E305,"Part paid","Not due"))))))</f>
        <v/>
      </c>
      <c r="O305" s="50" t="str">
        <f aca="false">IF(AND(D305="",B305="",C305="",E305=""),"",IF(D305="","⚠ Pick supplier",IF(ISNA(MATCH(D305,Suppliers!$B$7:$B$106,0)),"⚠ Supplier not in list",IF(B305="","⚠ Enter bill date",IF(N(E305)&lt;=0,"⚠ Enter amount",IF(AND(C305&lt;&gt;"",COUNTIFS($D$8:$D$507,D305,$C$8:$C$507,C305)&gt;1),"⚠ Bill no. used twice",IF(N(I305)&gt;N(E305),"⚠ Paid more than bill","✔")))))))</f>
        <v/>
      </c>
      <c r="P305" s="9" t="n">
        <f aca="false">IF(D305="",0,MAX(0,N(E305)-N(I305)))</f>
        <v>0</v>
      </c>
      <c r="Q305" s="9" t="n">
        <f aca="false">IF(D305="",0,SUMIFS($P$8:$P$507,$D$8:$D$507,D305,$B$8:$B$507,"&lt;"&amp;B305)+SUMIFS($P$8:P304,$D$8:D304,D305,$B$8:B304,B305))</f>
        <v>0</v>
      </c>
      <c r="R305" s="9" t="n">
        <f aca="false">IF(D305="",0,IFERROR(INDEX(Suppliers!$R$7:$R$106,MATCH(D305,Suppliers!$B$7:$B$106,0)),0))</f>
        <v>0</v>
      </c>
      <c r="S305" s="9" t="str">
        <f aca="false">IF(N(K305)&gt;0,IF(H305="",99999,MIN(H305,IF(ISNUMBER(M305),M305,H305)))+ROW()/100000,"")</f>
        <v/>
      </c>
      <c r="U305" s="9" t="n">
        <f aca="false">IF(N(K305)&gt;0,N(L305),0)</f>
        <v>0</v>
      </c>
      <c r="V305" s="9" t="n">
        <f aca="false">IF(AND(N(K305)&gt;0,ISNUMBER(M305)),M305-Setup!$C$11,99999)</f>
        <v>99999</v>
      </c>
    </row>
    <row r="306" customFormat="false" ht="15" hidden="false" customHeight="false" outlineLevel="0" collapsed="false">
      <c r="A306" s="40" t="str">
        <f aca="false">IF(D306="","",ROW()-7)</f>
        <v/>
      </c>
      <c r="B306" s="79"/>
      <c r="C306" s="75"/>
      <c r="D306" s="76"/>
      <c r="E306" s="80"/>
      <c r="F306" s="79"/>
      <c r="G306" s="76"/>
      <c r="H306" s="54" t="str">
        <f aca="false">IF(OR(D306="",B306=""),"",IF(F306&lt;&gt;"",F306,B306+IFERROR(INDEX(Suppliers!$Q$7:$Q$106,MATCH(D306,Suppliers!$B$7:$B$106,0)),Setup!$C$7)))</f>
        <v/>
      </c>
      <c r="I306" s="46" t="str">
        <f aca="false">IF(OR(D306="",C306=""),IF(D306="","",0),SUMIFS(Payments!$D$8:$D$507,Payments!$C$8:$C$507,D306,Payments!$F$8:$F$507,C306))</f>
        <v/>
      </c>
      <c r="J306" s="46" t="str">
        <f aca="false">IF(D306="","",MIN(P306,MAX(0,R306-Q306)))</f>
        <v/>
      </c>
      <c r="K306" s="47" t="str">
        <f aca="false">IF(D306="","",P306-J306)</f>
        <v/>
      </c>
      <c r="L306" s="55" t="str">
        <f aca="false">IF(OR(D306="",N(K306)&lt;=0,H306=""),"",MAX(0,Setup!$C$11-H306))</f>
        <v/>
      </c>
      <c r="M306" s="54" t="str">
        <f aca="false">IF(OR(D306="",B306=""),"",IF(IFERROR(INDEX(Suppliers!$S$7:$S$106,MATCH(D306,Suppliers!$B$7:$B$106,0)),"")="","–",B306+IFERROR(INDEX(Suppliers!$S$7:$S$106,MATCH(D306,Suppliers!$B$7:$B$106,0)),"")))</f>
        <v/>
      </c>
      <c r="N306" s="56" t="str">
        <f aca="false">IF(D306="","",IF(N(K306)&lt;=0,"Paid",IF(AND(ISNUMBER(M306),Setup!$C$11&gt;M306),"⚠ MSME late",IF(N(L306)&gt;0,"Overdue",IF(N(V306)&lt;=Setup!$C$9,"⚠ MSME due soon",IF(K306&lt;E306,"Part paid","Not due"))))))</f>
        <v/>
      </c>
      <c r="O306" s="50" t="str">
        <f aca="false">IF(AND(D306="",B306="",C306="",E306=""),"",IF(D306="","⚠ Pick supplier",IF(ISNA(MATCH(D306,Suppliers!$B$7:$B$106,0)),"⚠ Supplier not in list",IF(B306="","⚠ Enter bill date",IF(N(E306)&lt;=0,"⚠ Enter amount",IF(AND(C306&lt;&gt;"",COUNTIFS($D$8:$D$507,D306,$C$8:$C$507,C306)&gt;1),"⚠ Bill no. used twice",IF(N(I306)&gt;N(E306),"⚠ Paid more than bill","✔")))))))</f>
        <v/>
      </c>
      <c r="P306" s="9" t="n">
        <f aca="false">IF(D306="",0,MAX(0,N(E306)-N(I306)))</f>
        <v>0</v>
      </c>
      <c r="Q306" s="9" t="n">
        <f aca="false">IF(D306="",0,SUMIFS($P$8:$P$507,$D$8:$D$507,D306,$B$8:$B$507,"&lt;"&amp;B306)+SUMIFS($P$8:P305,$D$8:D305,D306,$B$8:B305,B306))</f>
        <v>0</v>
      </c>
      <c r="R306" s="9" t="n">
        <f aca="false">IF(D306="",0,IFERROR(INDEX(Suppliers!$R$7:$R$106,MATCH(D306,Suppliers!$B$7:$B$106,0)),0))</f>
        <v>0</v>
      </c>
      <c r="S306" s="9" t="str">
        <f aca="false">IF(N(K306)&gt;0,IF(H306="",99999,MIN(H306,IF(ISNUMBER(M306),M306,H306)))+ROW()/100000,"")</f>
        <v/>
      </c>
      <c r="U306" s="9" t="n">
        <f aca="false">IF(N(K306)&gt;0,N(L306),0)</f>
        <v>0</v>
      </c>
      <c r="V306" s="9" t="n">
        <f aca="false">IF(AND(N(K306)&gt;0,ISNUMBER(M306)),M306-Setup!$C$11,99999)</f>
        <v>99999</v>
      </c>
    </row>
    <row r="307" customFormat="false" ht="15" hidden="false" customHeight="false" outlineLevel="0" collapsed="false">
      <c r="A307" s="40" t="str">
        <f aca="false">IF(D307="","",ROW()-7)</f>
        <v/>
      </c>
      <c r="B307" s="79"/>
      <c r="C307" s="75"/>
      <c r="D307" s="76"/>
      <c r="E307" s="80"/>
      <c r="F307" s="79"/>
      <c r="G307" s="76"/>
      <c r="H307" s="54" t="str">
        <f aca="false">IF(OR(D307="",B307=""),"",IF(F307&lt;&gt;"",F307,B307+IFERROR(INDEX(Suppliers!$Q$7:$Q$106,MATCH(D307,Suppliers!$B$7:$B$106,0)),Setup!$C$7)))</f>
        <v/>
      </c>
      <c r="I307" s="46" t="str">
        <f aca="false">IF(OR(D307="",C307=""),IF(D307="","",0),SUMIFS(Payments!$D$8:$D$507,Payments!$C$8:$C$507,D307,Payments!$F$8:$F$507,C307))</f>
        <v/>
      </c>
      <c r="J307" s="46" t="str">
        <f aca="false">IF(D307="","",MIN(P307,MAX(0,R307-Q307)))</f>
        <v/>
      </c>
      <c r="K307" s="47" t="str">
        <f aca="false">IF(D307="","",P307-J307)</f>
        <v/>
      </c>
      <c r="L307" s="55" t="str">
        <f aca="false">IF(OR(D307="",N(K307)&lt;=0,H307=""),"",MAX(0,Setup!$C$11-H307))</f>
        <v/>
      </c>
      <c r="M307" s="54" t="str">
        <f aca="false">IF(OR(D307="",B307=""),"",IF(IFERROR(INDEX(Suppliers!$S$7:$S$106,MATCH(D307,Suppliers!$B$7:$B$106,0)),"")="","–",B307+IFERROR(INDEX(Suppliers!$S$7:$S$106,MATCH(D307,Suppliers!$B$7:$B$106,0)),"")))</f>
        <v/>
      </c>
      <c r="N307" s="56" t="str">
        <f aca="false">IF(D307="","",IF(N(K307)&lt;=0,"Paid",IF(AND(ISNUMBER(M307),Setup!$C$11&gt;M307),"⚠ MSME late",IF(N(L307)&gt;0,"Overdue",IF(N(V307)&lt;=Setup!$C$9,"⚠ MSME due soon",IF(K307&lt;E307,"Part paid","Not due"))))))</f>
        <v/>
      </c>
      <c r="O307" s="50" t="str">
        <f aca="false">IF(AND(D307="",B307="",C307="",E307=""),"",IF(D307="","⚠ Pick supplier",IF(ISNA(MATCH(D307,Suppliers!$B$7:$B$106,0)),"⚠ Supplier not in list",IF(B307="","⚠ Enter bill date",IF(N(E307)&lt;=0,"⚠ Enter amount",IF(AND(C307&lt;&gt;"",COUNTIFS($D$8:$D$507,D307,$C$8:$C$507,C307)&gt;1),"⚠ Bill no. used twice",IF(N(I307)&gt;N(E307),"⚠ Paid more than bill","✔")))))))</f>
        <v/>
      </c>
      <c r="P307" s="9" t="n">
        <f aca="false">IF(D307="",0,MAX(0,N(E307)-N(I307)))</f>
        <v>0</v>
      </c>
      <c r="Q307" s="9" t="n">
        <f aca="false">IF(D307="",0,SUMIFS($P$8:$P$507,$D$8:$D$507,D307,$B$8:$B$507,"&lt;"&amp;B307)+SUMIFS($P$8:P306,$D$8:D306,D307,$B$8:B306,B307))</f>
        <v>0</v>
      </c>
      <c r="R307" s="9" t="n">
        <f aca="false">IF(D307="",0,IFERROR(INDEX(Suppliers!$R$7:$R$106,MATCH(D307,Suppliers!$B$7:$B$106,0)),0))</f>
        <v>0</v>
      </c>
      <c r="S307" s="9" t="str">
        <f aca="false">IF(N(K307)&gt;0,IF(H307="",99999,MIN(H307,IF(ISNUMBER(M307),M307,H307)))+ROW()/100000,"")</f>
        <v/>
      </c>
      <c r="U307" s="9" t="n">
        <f aca="false">IF(N(K307)&gt;0,N(L307),0)</f>
        <v>0</v>
      </c>
      <c r="V307" s="9" t="n">
        <f aca="false">IF(AND(N(K307)&gt;0,ISNUMBER(M307)),M307-Setup!$C$11,99999)</f>
        <v>99999</v>
      </c>
    </row>
    <row r="308" customFormat="false" ht="15" hidden="false" customHeight="false" outlineLevel="0" collapsed="false">
      <c r="A308" s="40" t="str">
        <f aca="false">IF(D308="","",ROW()-7)</f>
        <v/>
      </c>
      <c r="B308" s="79"/>
      <c r="C308" s="75"/>
      <c r="D308" s="76"/>
      <c r="E308" s="80"/>
      <c r="F308" s="79"/>
      <c r="G308" s="76"/>
      <c r="H308" s="54" t="str">
        <f aca="false">IF(OR(D308="",B308=""),"",IF(F308&lt;&gt;"",F308,B308+IFERROR(INDEX(Suppliers!$Q$7:$Q$106,MATCH(D308,Suppliers!$B$7:$B$106,0)),Setup!$C$7)))</f>
        <v/>
      </c>
      <c r="I308" s="46" t="str">
        <f aca="false">IF(OR(D308="",C308=""),IF(D308="","",0),SUMIFS(Payments!$D$8:$D$507,Payments!$C$8:$C$507,D308,Payments!$F$8:$F$507,C308))</f>
        <v/>
      </c>
      <c r="J308" s="46" t="str">
        <f aca="false">IF(D308="","",MIN(P308,MAX(0,R308-Q308)))</f>
        <v/>
      </c>
      <c r="K308" s="47" t="str">
        <f aca="false">IF(D308="","",P308-J308)</f>
        <v/>
      </c>
      <c r="L308" s="55" t="str">
        <f aca="false">IF(OR(D308="",N(K308)&lt;=0,H308=""),"",MAX(0,Setup!$C$11-H308))</f>
        <v/>
      </c>
      <c r="M308" s="54" t="str">
        <f aca="false">IF(OR(D308="",B308=""),"",IF(IFERROR(INDEX(Suppliers!$S$7:$S$106,MATCH(D308,Suppliers!$B$7:$B$106,0)),"")="","–",B308+IFERROR(INDEX(Suppliers!$S$7:$S$106,MATCH(D308,Suppliers!$B$7:$B$106,0)),"")))</f>
        <v/>
      </c>
      <c r="N308" s="56" t="str">
        <f aca="false">IF(D308="","",IF(N(K308)&lt;=0,"Paid",IF(AND(ISNUMBER(M308),Setup!$C$11&gt;M308),"⚠ MSME late",IF(N(L308)&gt;0,"Overdue",IF(N(V308)&lt;=Setup!$C$9,"⚠ MSME due soon",IF(K308&lt;E308,"Part paid","Not due"))))))</f>
        <v/>
      </c>
      <c r="O308" s="50" t="str">
        <f aca="false">IF(AND(D308="",B308="",C308="",E308=""),"",IF(D308="","⚠ Pick supplier",IF(ISNA(MATCH(D308,Suppliers!$B$7:$B$106,0)),"⚠ Supplier not in list",IF(B308="","⚠ Enter bill date",IF(N(E308)&lt;=0,"⚠ Enter amount",IF(AND(C308&lt;&gt;"",COUNTIFS($D$8:$D$507,D308,$C$8:$C$507,C308)&gt;1),"⚠ Bill no. used twice",IF(N(I308)&gt;N(E308),"⚠ Paid more than bill","✔")))))))</f>
        <v/>
      </c>
      <c r="P308" s="9" t="n">
        <f aca="false">IF(D308="",0,MAX(0,N(E308)-N(I308)))</f>
        <v>0</v>
      </c>
      <c r="Q308" s="9" t="n">
        <f aca="false">IF(D308="",0,SUMIFS($P$8:$P$507,$D$8:$D$507,D308,$B$8:$B$507,"&lt;"&amp;B308)+SUMIFS($P$8:P307,$D$8:D307,D308,$B$8:B307,B308))</f>
        <v>0</v>
      </c>
      <c r="R308" s="9" t="n">
        <f aca="false">IF(D308="",0,IFERROR(INDEX(Suppliers!$R$7:$R$106,MATCH(D308,Suppliers!$B$7:$B$106,0)),0))</f>
        <v>0</v>
      </c>
      <c r="S308" s="9" t="str">
        <f aca="false">IF(N(K308)&gt;0,IF(H308="",99999,MIN(H308,IF(ISNUMBER(M308),M308,H308)))+ROW()/100000,"")</f>
        <v/>
      </c>
      <c r="U308" s="9" t="n">
        <f aca="false">IF(N(K308)&gt;0,N(L308),0)</f>
        <v>0</v>
      </c>
      <c r="V308" s="9" t="n">
        <f aca="false">IF(AND(N(K308)&gt;0,ISNUMBER(M308)),M308-Setup!$C$11,99999)</f>
        <v>99999</v>
      </c>
    </row>
    <row r="309" customFormat="false" ht="15" hidden="false" customHeight="false" outlineLevel="0" collapsed="false">
      <c r="A309" s="40" t="str">
        <f aca="false">IF(D309="","",ROW()-7)</f>
        <v/>
      </c>
      <c r="B309" s="79"/>
      <c r="C309" s="75"/>
      <c r="D309" s="76"/>
      <c r="E309" s="80"/>
      <c r="F309" s="79"/>
      <c r="G309" s="76"/>
      <c r="H309" s="54" t="str">
        <f aca="false">IF(OR(D309="",B309=""),"",IF(F309&lt;&gt;"",F309,B309+IFERROR(INDEX(Suppliers!$Q$7:$Q$106,MATCH(D309,Suppliers!$B$7:$B$106,0)),Setup!$C$7)))</f>
        <v/>
      </c>
      <c r="I309" s="46" t="str">
        <f aca="false">IF(OR(D309="",C309=""),IF(D309="","",0),SUMIFS(Payments!$D$8:$D$507,Payments!$C$8:$C$507,D309,Payments!$F$8:$F$507,C309))</f>
        <v/>
      </c>
      <c r="J309" s="46" t="str">
        <f aca="false">IF(D309="","",MIN(P309,MAX(0,R309-Q309)))</f>
        <v/>
      </c>
      <c r="K309" s="47" t="str">
        <f aca="false">IF(D309="","",P309-J309)</f>
        <v/>
      </c>
      <c r="L309" s="55" t="str">
        <f aca="false">IF(OR(D309="",N(K309)&lt;=0,H309=""),"",MAX(0,Setup!$C$11-H309))</f>
        <v/>
      </c>
      <c r="M309" s="54" t="str">
        <f aca="false">IF(OR(D309="",B309=""),"",IF(IFERROR(INDEX(Suppliers!$S$7:$S$106,MATCH(D309,Suppliers!$B$7:$B$106,0)),"")="","–",B309+IFERROR(INDEX(Suppliers!$S$7:$S$106,MATCH(D309,Suppliers!$B$7:$B$106,0)),"")))</f>
        <v/>
      </c>
      <c r="N309" s="56" t="str">
        <f aca="false">IF(D309="","",IF(N(K309)&lt;=0,"Paid",IF(AND(ISNUMBER(M309),Setup!$C$11&gt;M309),"⚠ MSME late",IF(N(L309)&gt;0,"Overdue",IF(N(V309)&lt;=Setup!$C$9,"⚠ MSME due soon",IF(K309&lt;E309,"Part paid","Not due"))))))</f>
        <v/>
      </c>
      <c r="O309" s="50" t="str">
        <f aca="false">IF(AND(D309="",B309="",C309="",E309=""),"",IF(D309="","⚠ Pick supplier",IF(ISNA(MATCH(D309,Suppliers!$B$7:$B$106,0)),"⚠ Supplier not in list",IF(B309="","⚠ Enter bill date",IF(N(E309)&lt;=0,"⚠ Enter amount",IF(AND(C309&lt;&gt;"",COUNTIFS($D$8:$D$507,D309,$C$8:$C$507,C309)&gt;1),"⚠ Bill no. used twice",IF(N(I309)&gt;N(E309),"⚠ Paid more than bill","✔")))))))</f>
        <v/>
      </c>
      <c r="P309" s="9" t="n">
        <f aca="false">IF(D309="",0,MAX(0,N(E309)-N(I309)))</f>
        <v>0</v>
      </c>
      <c r="Q309" s="9" t="n">
        <f aca="false">IF(D309="",0,SUMIFS($P$8:$P$507,$D$8:$D$507,D309,$B$8:$B$507,"&lt;"&amp;B309)+SUMIFS($P$8:P308,$D$8:D308,D309,$B$8:B308,B309))</f>
        <v>0</v>
      </c>
      <c r="R309" s="9" t="n">
        <f aca="false">IF(D309="",0,IFERROR(INDEX(Suppliers!$R$7:$R$106,MATCH(D309,Suppliers!$B$7:$B$106,0)),0))</f>
        <v>0</v>
      </c>
      <c r="S309" s="9" t="str">
        <f aca="false">IF(N(K309)&gt;0,IF(H309="",99999,MIN(H309,IF(ISNUMBER(M309),M309,H309)))+ROW()/100000,"")</f>
        <v/>
      </c>
      <c r="U309" s="9" t="n">
        <f aca="false">IF(N(K309)&gt;0,N(L309),0)</f>
        <v>0</v>
      </c>
      <c r="V309" s="9" t="n">
        <f aca="false">IF(AND(N(K309)&gt;0,ISNUMBER(M309)),M309-Setup!$C$11,99999)</f>
        <v>99999</v>
      </c>
    </row>
    <row r="310" customFormat="false" ht="15" hidden="false" customHeight="false" outlineLevel="0" collapsed="false">
      <c r="A310" s="40" t="str">
        <f aca="false">IF(D310="","",ROW()-7)</f>
        <v/>
      </c>
      <c r="B310" s="79"/>
      <c r="C310" s="75"/>
      <c r="D310" s="76"/>
      <c r="E310" s="80"/>
      <c r="F310" s="79"/>
      <c r="G310" s="76"/>
      <c r="H310" s="54" t="str">
        <f aca="false">IF(OR(D310="",B310=""),"",IF(F310&lt;&gt;"",F310,B310+IFERROR(INDEX(Suppliers!$Q$7:$Q$106,MATCH(D310,Suppliers!$B$7:$B$106,0)),Setup!$C$7)))</f>
        <v/>
      </c>
      <c r="I310" s="46" t="str">
        <f aca="false">IF(OR(D310="",C310=""),IF(D310="","",0),SUMIFS(Payments!$D$8:$D$507,Payments!$C$8:$C$507,D310,Payments!$F$8:$F$507,C310))</f>
        <v/>
      </c>
      <c r="J310" s="46" t="str">
        <f aca="false">IF(D310="","",MIN(P310,MAX(0,R310-Q310)))</f>
        <v/>
      </c>
      <c r="K310" s="47" t="str">
        <f aca="false">IF(D310="","",P310-J310)</f>
        <v/>
      </c>
      <c r="L310" s="55" t="str">
        <f aca="false">IF(OR(D310="",N(K310)&lt;=0,H310=""),"",MAX(0,Setup!$C$11-H310))</f>
        <v/>
      </c>
      <c r="M310" s="54" t="str">
        <f aca="false">IF(OR(D310="",B310=""),"",IF(IFERROR(INDEX(Suppliers!$S$7:$S$106,MATCH(D310,Suppliers!$B$7:$B$106,0)),"")="","–",B310+IFERROR(INDEX(Suppliers!$S$7:$S$106,MATCH(D310,Suppliers!$B$7:$B$106,0)),"")))</f>
        <v/>
      </c>
      <c r="N310" s="56" t="str">
        <f aca="false">IF(D310="","",IF(N(K310)&lt;=0,"Paid",IF(AND(ISNUMBER(M310),Setup!$C$11&gt;M310),"⚠ MSME late",IF(N(L310)&gt;0,"Overdue",IF(N(V310)&lt;=Setup!$C$9,"⚠ MSME due soon",IF(K310&lt;E310,"Part paid","Not due"))))))</f>
        <v/>
      </c>
      <c r="O310" s="50" t="str">
        <f aca="false">IF(AND(D310="",B310="",C310="",E310=""),"",IF(D310="","⚠ Pick supplier",IF(ISNA(MATCH(D310,Suppliers!$B$7:$B$106,0)),"⚠ Supplier not in list",IF(B310="","⚠ Enter bill date",IF(N(E310)&lt;=0,"⚠ Enter amount",IF(AND(C310&lt;&gt;"",COUNTIFS($D$8:$D$507,D310,$C$8:$C$507,C310)&gt;1),"⚠ Bill no. used twice",IF(N(I310)&gt;N(E310),"⚠ Paid more than bill","✔")))))))</f>
        <v/>
      </c>
      <c r="P310" s="9" t="n">
        <f aca="false">IF(D310="",0,MAX(0,N(E310)-N(I310)))</f>
        <v>0</v>
      </c>
      <c r="Q310" s="9" t="n">
        <f aca="false">IF(D310="",0,SUMIFS($P$8:$P$507,$D$8:$D$507,D310,$B$8:$B$507,"&lt;"&amp;B310)+SUMIFS($P$8:P309,$D$8:D309,D310,$B$8:B309,B310))</f>
        <v>0</v>
      </c>
      <c r="R310" s="9" t="n">
        <f aca="false">IF(D310="",0,IFERROR(INDEX(Suppliers!$R$7:$R$106,MATCH(D310,Suppliers!$B$7:$B$106,0)),0))</f>
        <v>0</v>
      </c>
      <c r="S310" s="9" t="str">
        <f aca="false">IF(N(K310)&gt;0,IF(H310="",99999,MIN(H310,IF(ISNUMBER(M310),M310,H310)))+ROW()/100000,"")</f>
        <v/>
      </c>
      <c r="U310" s="9" t="n">
        <f aca="false">IF(N(K310)&gt;0,N(L310),0)</f>
        <v>0</v>
      </c>
      <c r="V310" s="9" t="n">
        <f aca="false">IF(AND(N(K310)&gt;0,ISNUMBER(M310)),M310-Setup!$C$11,99999)</f>
        <v>99999</v>
      </c>
    </row>
    <row r="311" customFormat="false" ht="15" hidden="false" customHeight="false" outlineLevel="0" collapsed="false">
      <c r="A311" s="40" t="str">
        <f aca="false">IF(D311="","",ROW()-7)</f>
        <v/>
      </c>
      <c r="B311" s="79"/>
      <c r="C311" s="75"/>
      <c r="D311" s="76"/>
      <c r="E311" s="80"/>
      <c r="F311" s="79"/>
      <c r="G311" s="76"/>
      <c r="H311" s="54" t="str">
        <f aca="false">IF(OR(D311="",B311=""),"",IF(F311&lt;&gt;"",F311,B311+IFERROR(INDEX(Suppliers!$Q$7:$Q$106,MATCH(D311,Suppliers!$B$7:$B$106,0)),Setup!$C$7)))</f>
        <v/>
      </c>
      <c r="I311" s="46" t="str">
        <f aca="false">IF(OR(D311="",C311=""),IF(D311="","",0),SUMIFS(Payments!$D$8:$D$507,Payments!$C$8:$C$507,D311,Payments!$F$8:$F$507,C311))</f>
        <v/>
      </c>
      <c r="J311" s="46" t="str">
        <f aca="false">IF(D311="","",MIN(P311,MAX(0,R311-Q311)))</f>
        <v/>
      </c>
      <c r="K311" s="47" t="str">
        <f aca="false">IF(D311="","",P311-J311)</f>
        <v/>
      </c>
      <c r="L311" s="55" t="str">
        <f aca="false">IF(OR(D311="",N(K311)&lt;=0,H311=""),"",MAX(0,Setup!$C$11-H311))</f>
        <v/>
      </c>
      <c r="M311" s="54" t="str">
        <f aca="false">IF(OR(D311="",B311=""),"",IF(IFERROR(INDEX(Suppliers!$S$7:$S$106,MATCH(D311,Suppliers!$B$7:$B$106,0)),"")="","–",B311+IFERROR(INDEX(Suppliers!$S$7:$S$106,MATCH(D311,Suppliers!$B$7:$B$106,0)),"")))</f>
        <v/>
      </c>
      <c r="N311" s="56" t="str">
        <f aca="false">IF(D311="","",IF(N(K311)&lt;=0,"Paid",IF(AND(ISNUMBER(M311),Setup!$C$11&gt;M311),"⚠ MSME late",IF(N(L311)&gt;0,"Overdue",IF(N(V311)&lt;=Setup!$C$9,"⚠ MSME due soon",IF(K311&lt;E311,"Part paid","Not due"))))))</f>
        <v/>
      </c>
      <c r="O311" s="50" t="str">
        <f aca="false">IF(AND(D311="",B311="",C311="",E311=""),"",IF(D311="","⚠ Pick supplier",IF(ISNA(MATCH(D311,Suppliers!$B$7:$B$106,0)),"⚠ Supplier not in list",IF(B311="","⚠ Enter bill date",IF(N(E311)&lt;=0,"⚠ Enter amount",IF(AND(C311&lt;&gt;"",COUNTIFS($D$8:$D$507,D311,$C$8:$C$507,C311)&gt;1),"⚠ Bill no. used twice",IF(N(I311)&gt;N(E311),"⚠ Paid more than bill","✔")))))))</f>
        <v/>
      </c>
      <c r="P311" s="9" t="n">
        <f aca="false">IF(D311="",0,MAX(0,N(E311)-N(I311)))</f>
        <v>0</v>
      </c>
      <c r="Q311" s="9" t="n">
        <f aca="false">IF(D311="",0,SUMIFS($P$8:$P$507,$D$8:$D$507,D311,$B$8:$B$507,"&lt;"&amp;B311)+SUMIFS($P$8:P310,$D$8:D310,D311,$B$8:B310,B311))</f>
        <v>0</v>
      </c>
      <c r="R311" s="9" t="n">
        <f aca="false">IF(D311="",0,IFERROR(INDEX(Suppliers!$R$7:$R$106,MATCH(D311,Suppliers!$B$7:$B$106,0)),0))</f>
        <v>0</v>
      </c>
      <c r="S311" s="9" t="str">
        <f aca="false">IF(N(K311)&gt;0,IF(H311="",99999,MIN(H311,IF(ISNUMBER(M311),M311,H311)))+ROW()/100000,"")</f>
        <v/>
      </c>
      <c r="U311" s="9" t="n">
        <f aca="false">IF(N(K311)&gt;0,N(L311),0)</f>
        <v>0</v>
      </c>
      <c r="V311" s="9" t="n">
        <f aca="false">IF(AND(N(K311)&gt;0,ISNUMBER(M311)),M311-Setup!$C$11,99999)</f>
        <v>99999</v>
      </c>
    </row>
    <row r="312" customFormat="false" ht="15" hidden="false" customHeight="false" outlineLevel="0" collapsed="false">
      <c r="A312" s="40" t="str">
        <f aca="false">IF(D312="","",ROW()-7)</f>
        <v/>
      </c>
      <c r="B312" s="79"/>
      <c r="C312" s="75"/>
      <c r="D312" s="76"/>
      <c r="E312" s="80"/>
      <c r="F312" s="79"/>
      <c r="G312" s="76"/>
      <c r="H312" s="54" t="str">
        <f aca="false">IF(OR(D312="",B312=""),"",IF(F312&lt;&gt;"",F312,B312+IFERROR(INDEX(Suppliers!$Q$7:$Q$106,MATCH(D312,Suppliers!$B$7:$B$106,0)),Setup!$C$7)))</f>
        <v/>
      </c>
      <c r="I312" s="46" t="str">
        <f aca="false">IF(OR(D312="",C312=""),IF(D312="","",0),SUMIFS(Payments!$D$8:$D$507,Payments!$C$8:$C$507,D312,Payments!$F$8:$F$507,C312))</f>
        <v/>
      </c>
      <c r="J312" s="46" t="str">
        <f aca="false">IF(D312="","",MIN(P312,MAX(0,R312-Q312)))</f>
        <v/>
      </c>
      <c r="K312" s="47" t="str">
        <f aca="false">IF(D312="","",P312-J312)</f>
        <v/>
      </c>
      <c r="L312" s="55" t="str">
        <f aca="false">IF(OR(D312="",N(K312)&lt;=0,H312=""),"",MAX(0,Setup!$C$11-H312))</f>
        <v/>
      </c>
      <c r="M312" s="54" t="str">
        <f aca="false">IF(OR(D312="",B312=""),"",IF(IFERROR(INDEX(Suppliers!$S$7:$S$106,MATCH(D312,Suppliers!$B$7:$B$106,0)),"")="","–",B312+IFERROR(INDEX(Suppliers!$S$7:$S$106,MATCH(D312,Suppliers!$B$7:$B$106,0)),"")))</f>
        <v/>
      </c>
      <c r="N312" s="56" t="str">
        <f aca="false">IF(D312="","",IF(N(K312)&lt;=0,"Paid",IF(AND(ISNUMBER(M312),Setup!$C$11&gt;M312),"⚠ MSME late",IF(N(L312)&gt;0,"Overdue",IF(N(V312)&lt;=Setup!$C$9,"⚠ MSME due soon",IF(K312&lt;E312,"Part paid","Not due"))))))</f>
        <v/>
      </c>
      <c r="O312" s="50" t="str">
        <f aca="false">IF(AND(D312="",B312="",C312="",E312=""),"",IF(D312="","⚠ Pick supplier",IF(ISNA(MATCH(D312,Suppliers!$B$7:$B$106,0)),"⚠ Supplier not in list",IF(B312="","⚠ Enter bill date",IF(N(E312)&lt;=0,"⚠ Enter amount",IF(AND(C312&lt;&gt;"",COUNTIFS($D$8:$D$507,D312,$C$8:$C$507,C312)&gt;1),"⚠ Bill no. used twice",IF(N(I312)&gt;N(E312),"⚠ Paid more than bill","✔")))))))</f>
        <v/>
      </c>
      <c r="P312" s="9" t="n">
        <f aca="false">IF(D312="",0,MAX(0,N(E312)-N(I312)))</f>
        <v>0</v>
      </c>
      <c r="Q312" s="9" t="n">
        <f aca="false">IF(D312="",0,SUMIFS($P$8:$P$507,$D$8:$D$507,D312,$B$8:$B$507,"&lt;"&amp;B312)+SUMIFS($P$8:P311,$D$8:D311,D312,$B$8:B311,B312))</f>
        <v>0</v>
      </c>
      <c r="R312" s="9" t="n">
        <f aca="false">IF(D312="",0,IFERROR(INDEX(Suppliers!$R$7:$R$106,MATCH(D312,Suppliers!$B$7:$B$106,0)),0))</f>
        <v>0</v>
      </c>
      <c r="S312" s="9" t="str">
        <f aca="false">IF(N(K312)&gt;0,IF(H312="",99999,MIN(H312,IF(ISNUMBER(M312),M312,H312)))+ROW()/100000,"")</f>
        <v/>
      </c>
      <c r="U312" s="9" t="n">
        <f aca="false">IF(N(K312)&gt;0,N(L312),0)</f>
        <v>0</v>
      </c>
      <c r="V312" s="9" t="n">
        <f aca="false">IF(AND(N(K312)&gt;0,ISNUMBER(M312)),M312-Setup!$C$11,99999)</f>
        <v>99999</v>
      </c>
    </row>
    <row r="313" customFormat="false" ht="15" hidden="false" customHeight="false" outlineLevel="0" collapsed="false">
      <c r="A313" s="40" t="str">
        <f aca="false">IF(D313="","",ROW()-7)</f>
        <v/>
      </c>
      <c r="B313" s="79"/>
      <c r="C313" s="75"/>
      <c r="D313" s="76"/>
      <c r="E313" s="80"/>
      <c r="F313" s="79"/>
      <c r="G313" s="76"/>
      <c r="H313" s="54" t="str">
        <f aca="false">IF(OR(D313="",B313=""),"",IF(F313&lt;&gt;"",F313,B313+IFERROR(INDEX(Suppliers!$Q$7:$Q$106,MATCH(D313,Suppliers!$B$7:$B$106,0)),Setup!$C$7)))</f>
        <v/>
      </c>
      <c r="I313" s="46" t="str">
        <f aca="false">IF(OR(D313="",C313=""),IF(D313="","",0),SUMIFS(Payments!$D$8:$D$507,Payments!$C$8:$C$507,D313,Payments!$F$8:$F$507,C313))</f>
        <v/>
      </c>
      <c r="J313" s="46" t="str">
        <f aca="false">IF(D313="","",MIN(P313,MAX(0,R313-Q313)))</f>
        <v/>
      </c>
      <c r="K313" s="47" t="str">
        <f aca="false">IF(D313="","",P313-J313)</f>
        <v/>
      </c>
      <c r="L313" s="55" t="str">
        <f aca="false">IF(OR(D313="",N(K313)&lt;=0,H313=""),"",MAX(0,Setup!$C$11-H313))</f>
        <v/>
      </c>
      <c r="M313" s="54" t="str">
        <f aca="false">IF(OR(D313="",B313=""),"",IF(IFERROR(INDEX(Suppliers!$S$7:$S$106,MATCH(D313,Suppliers!$B$7:$B$106,0)),"")="","–",B313+IFERROR(INDEX(Suppliers!$S$7:$S$106,MATCH(D313,Suppliers!$B$7:$B$106,0)),"")))</f>
        <v/>
      </c>
      <c r="N313" s="56" t="str">
        <f aca="false">IF(D313="","",IF(N(K313)&lt;=0,"Paid",IF(AND(ISNUMBER(M313),Setup!$C$11&gt;M313),"⚠ MSME late",IF(N(L313)&gt;0,"Overdue",IF(N(V313)&lt;=Setup!$C$9,"⚠ MSME due soon",IF(K313&lt;E313,"Part paid","Not due"))))))</f>
        <v/>
      </c>
      <c r="O313" s="50" t="str">
        <f aca="false">IF(AND(D313="",B313="",C313="",E313=""),"",IF(D313="","⚠ Pick supplier",IF(ISNA(MATCH(D313,Suppliers!$B$7:$B$106,0)),"⚠ Supplier not in list",IF(B313="","⚠ Enter bill date",IF(N(E313)&lt;=0,"⚠ Enter amount",IF(AND(C313&lt;&gt;"",COUNTIFS($D$8:$D$507,D313,$C$8:$C$507,C313)&gt;1),"⚠ Bill no. used twice",IF(N(I313)&gt;N(E313),"⚠ Paid more than bill","✔")))))))</f>
        <v/>
      </c>
      <c r="P313" s="9" t="n">
        <f aca="false">IF(D313="",0,MAX(0,N(E313)-N(I313)))</f>
        <v>0</v>
      </c>
      <c r="Q313" s="9" t="n">
        <f aca="false">IF(D313="",0,SUMIFS($P$8:$P$507,$D$8:$D$507,D313,$B$8:$B$507,"&lt;"&amp;B313)+SUMIFS($P$8:P312,$D$8:D312,D313,$B$8:B312,B313))</f>
        <v>0</v>
      </c>
      <c r="R313" s="9" t="n">
        <f aca="false">IF(D313="",0,IFERROR(INDEX(Suppliers!$R$7:$R$106,MATCH(D313,Suppliers!$B$7:$B$106,0)),0))</f>
        <v>0</v>
      </c>
      <c r="S313" s="9" t="str">
        <f aca="false">IF(N(K313)&gt;0,IF(H313="",99999,MIN(H313,IF(ISNUMBER(M313),M313,H313)))+ROW()/100000,"")</f>
        <v/>
      </c>
      <c r="U313" s="9" t="n">
        <f aca="false">IF(N(K313)&gt;0,N(L313),0)</f>
        <v>0</v>
      </c>
      <c r="V313" s="9" t="n">
        <f aca="false">IF(AND(N(K313)&gt;0,ISNUMBER(M313)),M313-Setup!$C$11,99999)</f>
        <v>99999</v>
      </c>
    </row>
    <row r="314" customFormat="false" ht="15" hidden="false" customHeight="false" outlineLevel="0" collapsed="false">
      <c r="A314" s="40" t="str">
        <f aca="false">IF(D314="","",ROW()-7)</f>
        <v/>
      </c>
      <c r="B314" s="79"/>
      <c r="C314" s="75"/>
      <c r="D314" s="76"/>
      <c r="E314" s="80"/>
      <c r="F314" s="79"/>
      <c r="G314" s="76"/>
      <c r="H314" s="54" t="str">
        <f aca="false">IF(OR(D314="",B314=""),"",IF(F314&lt;&gt;"",F314,B314+IFERROR(INDEX(Suppliers!$Q$7:$Q$106,MATCH(D314,Suppliers!$B$7:$B$106,0)),Setup!$C$7)))</f>
        <v/>
      </c>
      <c r="I314" s="46" t="str">
        <f aca="false">IF(OR(D314="",C314=""),IF(D314="","",0),SUMIFS(Payments!$D$8:$D$507,Payments!$C$8:$C$507,D314,Payments!$F$8:$F$507,C314))</f>
        <v/>
      </c>
      <c r="J314" s="46" t="str">
        <f aca="false">IF(D314="","",MIN(P314,MAX(0,R314-Q314)))</f>
        <v/>
      </c>
      <c r="K314" s="47" t="str">
        <f aca="false">IF(D314="","",P314-J314)</f>
        <v/>
      </c>
      <c r="L314" s="55" t="str">
        <f aca="false">IF(OR(D314="",N(K314)&lt;=0,H314=""),"",MAX(0,Setup!$C$11-H314))</f>
        <v/>
      </c>
      <c r="M314" s="54" t="str">
        <f aca="false">IF(OR(D314="",B314=""),"",IF(IFERROR(INDEX(Suppliers!$S$7:$S$106,MATCH(D314,Suppliers!$B$7:$B$106,0)),"")="","–",B314+IFERROR(INDEX(Suppliers!$S$7:$S$106,MATCH(D314,Suppliers!$B$7:$B$106,0)),"")))</f>
        <v/>
      </c>
      <c r="N314" s="56" t="str">
        <f aca="false">IF(D314="","",IF(N(K314)&lt;=0,"Paid",IF(AND(ISNUMBER(M314),Setup!$C$11&gt;M314),"⚠ MSME late",IF(N(L314)&gt;0,"Overdue",IF(N(V314)&lt;=Setup!$C$9,"⚠ MSME due soon",IF(K314&lt;E314,"Part paid","Not due"))))))</f>
        <v/>
      </c>
      <c r="O314" s="50" t="str">
        <f aca="false">IF(AND(D314="",B314="",C314="",E314=""),"",IF(D314="","⚠ Pick supplier",IF(ISNA(MATCH(D314,Suppliers!$B$7:$B$106,0)),"⚠ Supplier not in list",IF(B314="","⚠ Enter bill date",IF(N(E314)&lt;=0,"⚠ Enter amount",IF(AND(C314&lt;&gt;"",COUNTIFS($D$8:$D$507,D314,$C$8:$C$507,C314)&gt;1),"⚠ Bill no. used twice",IF(N(I314)&gt;N(E314),"⚠ Paid more than bill","✔")))))))</f>
        <v/>
      </c>
      <c r="P314" s="9" t="n">
        <f aca="false">IF(D314="",0,MAX(0,N(E314)-N(I314)))</f>
        <v>0</v>
      </c>
      <c r="Q314" s="9" t="n">
        <f aca="false">IF(D314="",0,SUMIFS($P$8:$P$507,$D$8:$D$507,D314,$B$8:$B$507,"&lt;"&amp;B314)+SUMIFS($P$8:P313,$D$8:D313,D314,$B$8:B313,B314))</f>
        <v>0</v>
      </c>
      <c r="R314" s="9" t="n">
        <f aca="false">IF(D314="",0,IFERROR(INDEX(Suppliers!$R$7:$R$106,MATCH(D314,Suppliers!$B$7:$B$106,0)),0))</f>
        <v>0</v>
      </c>
      <c r="S314" s="9" t="str">
        <f aca="false">IF(N(K314)&gt;0,IF(H314="",99999,MIN(H314,IF(ISNUMBER(M314),M314,H314)))+ROW()/100000,"")</f>
        <v/>
      </c>
      <c r="U314" s="9" t="n">
        <f aca="false">IF(N(K314)&gt;0,N(L314),0)</f>
        <v>0</v>
      </c>
      <c r="V314" s="9" t="n">
        <f aca="false">IF(AND(N(K314)&gt;0,ISNUMBER(M314)),M314-Setup!$C$11,99999)</f>
        <v>99999</v>
      </c>
    </row>
    <row r="315" customFormat="false" ht="15" hidden="false" customHeight="false" outlineLevel="0" collapsed="false">
      <c r="A315" s="40" t="str">
        <f aca="false">IF(D315="","",ROW()-7)</f>
        <v/>
      </c>
      <c r="B315" s="79"/>
      <c r="C315" s="75"/>
      <c r="D315" s="76"/>
      <c r="E315" s="80"/>
      <c r="F315" s="79"/>
      <c r="G315" s="76"/>
      <c r="H315" s="54" t="str">
        <f aca="false">IF(OR(D315="",B315=""),"",IF(F315&lt;&gt;"",F315,B315+IFERROR(INDEX(Suppliers!$Q$7:$Q$106,MATCH(D315,Suppliers!$B$7:$B$106,0)),Setup!$C$7)))</f>
        <v/>
      </c>
      <c r="I315" s="46" t="str">
        <f aca="false">IF(OR(D315="",C315=""),IF(D315="","",0),SUMIFS(Payments!$D$8:$D$507,Payments!$C$8:$C$507,D315,Payments!$F$8:$F$507,C315))</f>
        <v/>
      </c>
      <c r="J315" s="46" t="str">
        <f aca="false">IF(D315="","",MIN(P315,MAX(0,R315-Q315)))</f>
        <v/>
      </c>
      <c r="K315" s="47" t="str">
        <f aca="false">IF(D315="","",P315-J315)</f>
        <v/>
      </c>
      <c r="L315" s="55" t="str">
        <f aca="false">IF(OR(D315="",N(K315)&lt;=0,H315=""),"",MAX(0,Setup!$C$11-H315))</f>
        <v/>
      </c>
      <c r="M315" s="54" t="str">
        <f aca="false">IF(OR(D315="",B315=""),"",IF(IFERROR(INDEX(Suppliers!$S$7:$S$106,MATCH(D315,Suppliers!$B$7:$B$106,0)),"")="","–",B315+IFERROR(INDEX(Suppliers!$S$7:$S$106,MATCH(D315,Suppliers!$B$7:$B$106,0)),"")))</f>
        <v/>
      </c>
      <c r="N315" s="56" t="str">
        <f aca="false">IF(D315="","",IF(N(K315)&lt;=0,"Paid",IF(AND(ISNUMBER(M315),Setup!$C$11&gt;M315),"⚠ MSME late",IF(N(L315)&gt;0,"Overdue",IF(N(V315)&lt;=Setup!$C$9,"⚠ MSME due soon",IF(K315&lt;E315,"Part paid","Not due"))))))</f>
        <v/>
      </c>
      <c r="O315" s="50" t="str">
        <f aca="false">IF(AND(D315="",B315="",C315="",E315=""),"",IF(D315="","⚠ Pick supplier",IF(ISNA(MATCH(D315,Suppliers!$B$7:$B$106,0)),"⚠ Supplier not in list",IF(B315="","⚠ Enter bill date",IF(N(E315)&lt;=0,"⚠ Enter amount",IF(AND(C315&lt;&gt;"",COUNTIFS($D$8:$D$507,D315,$C$8:$C$507,C315)&gt;1),"⚠ Bill no. used twice",IF(N(I315)&gt;N(E315),"⚠ Paid more than bill","✔")))))))</f>
        <v/>
      </c>
      <c r="P315" s="9" t="n">
        <f aca="false">IF(D315="",0,MAX(0,N(E315)-N(I315)))</f>
        <v>0</v>
      </c>
      <c r="Q315" s="9" t="n">
        <f aca="false">IF(D315="",0,SUMIFS($P$8:$P$507,$D$8:$D$507,D315,$B$8:$B$507,"&lt;"&amp;B315)+SUMIFS($P$8:P314,$D$8:D314,D315,$B$8:B314,B315))</f>
        <v>0</v>
      </c>
      <c r="R315" s="9" t="n">
        <f aca="false">IF(D315="",0,IFERROR(INDEX(Suppliers!$R$7:$R$106,MATCH(D315,Suppliers!$B$7:$B$106,0)),0))</f>
        <v>0</v>
      </c>
      <c r="S315" s="9" t="str">
        <f aca="false">IF(N(K315)&gt;0,IF(H315="",99999,MIN(H315,IF(ISNUMBER(M315),M315,H315)))+ROW()/100000,"")</f>
        <v/>
      </c>
      <c r="U315" s="9" t="n">
        <f aca="false">IF(N(K315)&gt;0,N(L315),0)</f>
        <v>0</v>
      </c>
      <c r="V315" s="9" t="n">
        <f aca="false">IF(AND(N(K315)&gt;0,ISNUMBER(M315)),M315-Setup!$C$11,99999)</f>
        <v>99999</v>
      </c>
    </row>
    <row r="316" customFormat="false" ht="15" hidden="false" customHeight="false" outlineLevel="0" collapsed="false">
      <c r="A316" s="40" t="str">
        <f aca="false">IF(D316="","",ROW()-7)</f>
        <v/>
      </c>
      <c r="B316" s="79"/>
      <c r="C316" s="75"/>
      <c r="D316" s="76"/>
      <c r="E316" s="80"/>
      <c r="F316" s="79"/>
      <c r="G316" s="76"/>
      <c r="H316" s="54" t="str">
        <f aca="false">IF(OR(D316="",B316=""),"",IF(F316&lt;&gt;"",F316,B316+IFERROR(INDEX(Suppliers!$Q$7:$Q$106,MATCH(D316,Suppliers!$B$7:$B$106,0)),Setup!$C$7)))</f>
        <v/>
      </c>
      <c r="I316" s="46" t="str">
        <f aca="false">IF(OR(D316="",C316=""),IF(D316="","",0),SUMIFS(Payments!$D$8:$D$507,Payments!$C$8:$C$507,D316,Payments!$F$8:$F$507,C316))</f>
        <v/>
      </c>
      <c r="J316" s="46" t="str">
        <f aca="false">IF(D316="","",MIN(P316,MAX(0,R316-Q316)))</f>
        <v/>
      </c>
      <c r="K316" s="47" t="str">
        <f aca="false">IF(D316="","",P316-J316)</f>
        <v/>
      </c>
      <c r="L316" s="55" t="str">
        <f aca="false">IF(OR(D316="",N(K316)&lt;=0,H316=""),"",MAX(0,Setup!$C$11-H316))</f>
        <v/>
      </c>
      <c r="M316" s="54" t="str">
        <f aca="false">IF(OR(D316="",B316=""),"",IF(IFERROR(INDEX(Suppliers!$S$7:$S$106,MATCH(D316,Suppliers!$B$7:$B$106,0)),"")="","–",B316+IFERROR(INDEX(Suppliers!$S$7:$S$106,MATCH(D316,Suppliers!$B$7:$B$106,0)),"")))</f>
        <v/>
      </c>
      <c r="N316" s="56" t="str">
        <f aca="false">IF(D316="","",IF(N(K316)&lt;=0,"Paid",IF(AND(ISNUMBER(M316),Setup!$C$11&gt;M316),"⚠ MSME late",IF(N(L316)&gt;0,"Overdue",IF(N(V316)&lt;=Setup!$C$9,"⚠ MSME due soon",IF(K316&lt;E316,"Part paid","Not due"))))))</f>
        <v/>
      </c>
      <c r="O316" s="50" t="str">
        <f aca="false">IF(AND(D316="",B316="",C316="",E316=""),"",IF(D316="","⚠ Pick supplier",IF(ISNA(MATCH(D316,Suppliers!$B$7:$B$106,0)),"⚠ Supplier not in list",IF(B316="","⚠ Enter bill date",IF(N(E316)&lt;=0,"⚠ Enter amount",IF(AND(C316&lt;&gt;"",COUNTIFS($D$8:$D$507,D316,$C$8:$C$507,C316)&gt;1),"⚠ Bill no. used twice",IF(N(I316)&gt;N(E316),"⚠ Paid more than bill","✔")))))))</f>
        <v/>
      </c>
      <c r="P316" s="9" t="n">
        <f aca="false">IF(D316="",0,MAX(0,N(E316)-N(I316)))</f>
        <v>0</v>
      </c>
      <c r="Q316" s="9" t="n">
        <f aca="false">IF(D316="",0,SUMIFS($P$8:$P$507,$D$8:$D$507,D316,$B$8:$B$507,"&lt;"&amp;B316)+SUMIFS($P$8:P315,$D$8:D315,D316,$B$8:B315,B316))</f>
        <v>0</v>
      </c>
      <c r="R316" s="9" t="n">
        <f aca="false">IF(D316="",0,IFERROR(INDEX(Suppliers!$R$7:$R$106,MATCH(D316,Suppliers!$B$7:$B$106,0)),0))</f>
        <v>0</v>
      </c>
      <c r="S316" s="9" t="str">
        <f aca="false">IF(N(K316)&gt;0,IF(H316="",99999,MIN(H316,IF(ISNUMBER(M316),M316,H316)))+ROW()/100000,"")</f>
        <v/>
      </c>
      <c r="U316" s="9" t="n">
        <f aca="false">IF(N(K316)&gt;0,N(L316),0)</f>
        <v>0</v>
      </c>
      <c r="V316" s="9" t="n">
        <f aca="false">IF(AND(N(K316)&gt;0,ISNUMBER(M316)),M316-Setup!$C$11,99999)</f>
        <v>99999</v>
      </c>
    </row>
    <row r="317" customFormat="false" ht="15" hidden="false" customHeight="false" outlineLevel="0" collapsed="false">
      <c r="A317" s="40" t="str">
        <f aca="false">IF(D317="","",ROW()-7)</f>
        <v/>
      </c>
      <c r="B317" s="79"/>
      <c r="C317" s="75"/>
      <c r="D317" s="76"/>
      <c r="E317" s="80"/>
      <c r="F317" s="79"/>
      <c r="G317" s="76"/>
      <c r="H317" s="54" t="str">
        <f aca="false">IF(OR(D317="",B317=""),"",IF(F317&lt;&gt;"",F317,B317+IFERROR(INDEX(Suppliers!$Q$7:$Q$106,MATCH(D317,Suppliers!$B$7:$B$106,0)),Setup!$C$7)))</f>
        <v/>
      </c>
      <c r="I317" s="46" t="str">
        <f aca="false">IF(OR(D317="",C317=""),IF(D317="","",0),SUMIFS(Payments!$D$8:$D$507,Payments!$C$8:$C$507,D317,Payments!$F$8:$F$507,C317))</f>
        <v/>
      </c>
      <c r="J317" s="46" t="str">
        <f aca="false">IF(D317="","",MIN(P317,MAX(0,R317-Q317)))</f>
        <v/>
      </c>
      <c r="K317" s="47" t="str">
        <f aca="false">IF(D317="","",P317-J317)</f>
        <v/>
      </c>
      <c r="L317" s="55" t="str">
        <f aca="false">IF(OR(D317="",N(K317)&lt;=0,H317=""),"",MAX(0,Setup!$C$11-H317))</f>
        <v/>
      </c>
      <c r="M317" s="54" t="str">
        <f aca="false">IF(OR(D317="",B317=""),"",IF(IFERROR(INDEX(Suppliers!$S$7:$S$106,MATCH(D317,Suppliers!$B$7:$B$106,0)),"")="","–",B317+IFERROR(INDEX(Suppliers!$S$7:$S$106,MATCH(D317,Suppliers!$B$7:$B$106,0)),"")))</f>
        <v/>
      </c>
      <c r="N317" s="56" t="str">
        <f aca="false">IF(D317="","",IF(N(K317)&lt;=0,"Paid",IF(AND(ISNUMBER(M317),Setup!$C$11&gt;M317),"⚠ MSME late",IF(N(L317)&gt;0,"Overdue",IF(N(V317)&lt;=Setup!$C$9,"⚠ MSME due soon",IF(K317&lt;E317,"Part paid","Not due"))))))</f>
        <v/>
      </c>
      <c r="O317" s="50" t="str">
        <f aca="false">IF(AND(D317="",B317="",C317="",E317=""),"",IF(D317="","⚠ Pick supplier",IF(ISNA(MATCH(D317,Suppliers!$B$7:$B$106,0)),"⚠ Supplier not in list",IF(B317="","⚠ Enter bill date",IF(N(E317)&lt;=0,"⚠ Enter amount",IF(AND(C317&lt;&gt;"",COUNTIFS($D$8:$D$507,D317,$C$8:$C$507,C317)&gt;1),"⚠ Bill no. used twice",IF(N(I317)&gt;N(E317),"⚠ Paid more than bill","✔")))))))</f>
        <v/>
      </c>
      <c r="P317" s="9" t="n">
        <f aca="false">IF(D317="",0,MAX(0,N(E317)-N(I317)))</f>
        <v>0</v>
      </c>
      <c r="Q317" s="9" t="n">
        <f aca="false">IF(D317="",0,SUMIFS($P$8:$P$507,$D$8:$D$507,D317,$B$8:$B$507,"&lt;"&amp;B317)+SUMIFS($P$8:P316,$D$8:D316,D317,$B$8:B316,B317))</f>
        <v>0</v>
      </c>
      <c r="R317" s="9" t="n">
        <f aca="false">IF(D317="",0,IFERROR(INDEX(Suppliers!$R$7:$R$106,MATCH(D317,Suppliers!$B$7:$B$106,0)),0))</f>
        <v>0</v>
      </c>
      <c r="S317" s="9" t="str">
        <f aca="false">IF(N(K317)&gt;0,IF(H317="",99999,MIN(H317,IF(ISNUMBER(M317),M317,H317)))+ROW()/100000,"")</f>
        <v/>
      </c>
      <c r="U317" s="9" t="n">
        <f aca="false">IF(N(K317)&gt;0,N(L317),0)</f>
        <v>0</v>
      </c>
      <c r="V317" s="9" t="n">
        <f aca="false">IF(AND(N(K317)&gt;0,ISNUMBER(M317)),M317-Setup!$C$11,99999)</f>
        <v>99999</v>
      </c>
    </row>
    <row r="318" customFormat="false" ht="15" hidden="false" customHeight="false" outlineLevel="0" collapsed="false">
      <c r="A318" s="40" t="str">
        <f aca="false">IF(D318="","",ROW()-7)</f>
        <v/>
      </c>
      <c r="B318" s="79"/>
      <c r="C318" s="75"/>
      <c r="D318" s="76"/>
      <c r="E318" s="80"/>
      <c r="F318" s="79"/>
      <c r="G318" s="76"/>
      <c r="H318" s="54" t="str">
        <f aca="false">IF(OR(D318="",B318=""),"",IF(F318&lt;&gt;"",F318,B318+IFERROR(INDEX(Suppliers!$Q$7:$Q$106,MATCH(D318,Suppliers!$B$7:$B$106,0)),Setup!$C$7)))</f>
        <v/>
      </c>
      <c r="I318" s="46" t="str">
        <f aca="false">IF(OR(D318="",C318=""),IF(D318="","",0),SUMIFS(Payments!$D$8:$D$507,Payments!$C$8:$C$507,D318,Payments!$F$8:$F$507,C318))</f>
        <v/>
      </c>
      <c r="J318" s="46" t="str">
        <f aca="false">IF(D318="","",MIN(P318,MAX(0,R318-Q318)))</f>
        <v/>
      </c>
      <c r="K318" s="47" t="str">
        <f aca="false">IF(D318="","",P318-J318)</f>
        <v/>
      </c>
      <c r="L318" s="55" t="str">
        <f aca="false">IF(OR(D318="",N(K318)&lt;=0,H318=""),"",MAX(0,Setup!$C$11-H318))</f>
        <v/>
      </c>
      <c r="M318" s="54" t="str">
        <f aca="false">IF(OR(D318="",B318=""),"",IF(IFERROR(INDEX(Suppliers!$S$7:$S$106,MATCH(D318,Suppliers!$B$7:$B$106,0)),"")="","–",B318+IFERROR(INDEX(Suppliers!$S$7:$S$106,MATCH(D318,Suppliers!$B$7:$B$106,0)),"")))</f>
        <v/>
      </c>
      <c r="N318" s="56" t="str">
        <f aca="false">IF(D318="","",IF(N(K318)&lt;=0,"Paid",IF(AND(ISNUMBER(M318),Setup!$C$11&gt;M318),"⚠ MSME late",IF(N(L318)&gt;0,"Overdue",IF(N(V318)&lt;=Setup!$C$9,"⚠ MSME due soon",IF(K318&lt;E318,"Part paid","Not due"))))))</f>
        <v/>
      </c>
      <c r="O318" s="50" t="str">
        <f aca="false">IF(AND(D318="",B318="",C318="",E318=""),"",IF(D318="","⚠ Pick supplier",IF(ISNA(MATCH(D318,Suppliers!$B$7:$B$106,0)),"⚠ Supplier not in list",IF(B318="","⚠ Enter bill date",IF(N(E318)&lt;=0,"⚠ Enter amount",IF(AND(C318&lt;&gt;"",COUNTIFS($D$8:$D$507,D318,$C$8:$C$507,C318)&gt;1),"⚠ Bill no. used twice",IF(N(I318)&gt;N(E318),"⚠ Paid more than bill","✔")))))))</f>
        <v/>
      </c>
      <c r="P318" s="9" t="n">
        <f aca="false">IF(D318="",0,MAX(0,N(E318)-N(I318)))</f>
        <v>0</v>
      </c>
      <c r="Q318" s="9" t="n">
        <f aca="false">IF(D318="",0,SUMIFS($P$8:$P$507,$D$8:$D$507,D318,$B$8:$B$507,"&lt;"&amp;B318)+SUMIFS($P$8:P317,$D$8:D317,D318,$B$8:B317,B318))</f>
        <v>0</v>
      </c>
      <c r="R318" s="9" t="n">
        <f aca="false">IF(D318="",0,IFERROR(INDEX(Suppliers!$R$7:$R$106,MATCH(D318,Suppliers!$B$7:$B$106,0)),0))</f>
        <v>0</v>
      </c>
      <c r="S318" s="9" t="str">
        <f aca="false">IF(N(K318)&gt;0,IF(H318="",99999,MIN(H318,IF(ISNUMBER(M318),M318,H318)))+ROW()/100000,"")</f>
        <v/>
      </c>
      <c r="U318" s="9" t="n">
        <f aca="false">IF(N(K318)&gt;0,N(L318),0)</f>
        <v>0</v>
      </c>
      <c r="V318" s="9" t="n">
        <f aca="false">IF(AND(N(K318)&gt;0,ISNUMBER(M318)),M318-Setup!$C$11,99999)</f>
        <v>99999</v>
      </c>
    </row>
    <row r="319" customFormat="false" ht="15" hidden="false" customHeight="false" outlineLevel="0" collapsed="false">
      <c r="A319" s="40" t="str">
        <f aca="false">IF(D319="","",ROW()-7)</f>
        <v/>
      </c>
      <c r="B319" s="79"/>
      <c r="C319" s="75"/>
      <c r="D319" s="76"/>
      <c r="E319" s="80"/>
      <c r="F319" s="79"/>
      <c r="G319" s="76"/>
      <c r="H319" s="54" t="str">
        <f aca="false">IF(OR(D319="",B319=""),"",IF(F319&lt;&gt;"",F319,B319+IFERROR(INDEX(Suppliers!$Q$7:$Q$106,MATCH(D319,Suppliers!$B$7:$B$106,0)),Setup!$C$7)))</f>
        <v/>
      </c>
      <c r="I319" s="46" t="str">
        <f aca="false">IF(OR(D319="",C319=""),IF(D319="","",0),SUMIFS(Payments!$D$8:$D$507,Payments!$C$8:$C$507,D319,Payments!$F$8:$F$507,C319))</f>
        <v/>
      </c>
      <c r="J319" s="46" t="str">
        <f aca="false">IF(D319="","",MIN(P319,MAX(0,R319-Q319)))</f>
        <v/>
      </c>
      <c r="K319" s="47" t="str">
        <f aca="false">IF(D319="","",P319-J319)</f>
        <v/>
      </c>
      <c r="L319" s="55" t="str">
        <f aca="false">IF(OR(D319="",N(K319)&lt;=0,H319=""),"",MAX(0,Setup!$C$11-H319))</f>
        <v/>
      </c>
      <c r="M319" s="54" t="str">
        <f aca="false">IF(OR(D319="",B319=""),"",IF(IFERROR(INDEX(Suppliers!$S$7:$S$106,MATCH(D319,Suppliers!$B$7:$B$106,0)),"")="","–",B319+IFERROR(INDEX(Suppliers!$S$7:$S$106,MATCH(D319,Suppliers!$B$7:$B$106,0)),"")))</f>
        <v/>
      </c>
      <c r="N319" s="56" t="str">
        <f aca="false">IF(D319="","",IF(N(K319)&lt;=0,"Paid",IF(AND(ISNUMBER(M319),Setup!$C$11&gt;M319),"⚠ MSME late",IF(N(L319)&gt;0,"Overdue",IF(N(V319)&lt;=Setup!$C$9,"⚠ MSME due soon",IF(K319&lt;E319,"Part paid","Not due"))))))</f>
        <v/>
      </c>
      <c r="O319" s="50" t="str">
        <f aca="false">IF(AND(D319="",B319="",C319="",E319=""),"",IF(D319="","⚠ Pick supplier",IF(ISNA(MATCH(D319,Suppliers!$B$7:$B$106,0)),"⚠ Supplier not in list",IF(B319="","⚠ Enter bill date",IF(N(E319)&lt;=0,"⚠ Enter amount",IF(AND(C319&lt;&gt;"",COUNTIFS($D$8:$D$507,D319,$C$8:$C$507,C319)&gt;1),"⚠ Bill no. used twice",IF(N(I319)&gt;N(E319),"⚠ Paid more than bill","✔")))))))</f>
        <v/>
      </c>
      <c r="P319" s="9" t="n">
        <f aca="false">IF(D319="",0,MAX(0,N(E319)-N(I319)))</f>
        <v>0</v>
      </c>
      <c r="Q319" s="9" t="n">
        <f aca="false">IF(D319="",0,SUMIFS($P$8:$P$507,$D$8:$D$507,D319,$B$8:$B$507,"&lt;"&amp;B319)+SUMIFS($P$8:P318,$D$8:D318,D319,$B$8:B318,B319))</f>
        <v>0</v>
      </c>
      <c r="R319" s="9" t="n">
        <f aca="false">IF(D319="",0,IFERROR(INDEX(Suppliers!$R$7:$R$106,MATCH(D319,Suppliers!$B$7:$B$106,0)),0))</f>
        <v>0</v>
      </c>
      <c r="S319" s="9" t="str">
        <f aca="false">IF(N(K319)&gt;0,IF(H319="",99999,MIN(H319,IF(ISNUMBER(M319),M319,H319)))+ROW()/100000,"")</f>
        <v/>
      </c>
      <c r="U319" s="9" t="n">
        <f aca="false">IF(N(K319)&gt;0,N(L319),0)</f>
        <v>0</v>
      </c>
      <c r="V319" s="9" t="n">
        <f aca="false">IF(AND(N(K319)&gt;0,ISNUMBER(M319)),M319-Setup!$C$11,99999)</f>
        <v>99999</v>
      </c>
    </row>
    <row r="320" customFormat="false" ht="15" hidden="false" customHeight="false" outlineLevel="0" collapsed="false">
      <c r="A320" s="40" t="str">
        <f aca="false">IF(D320="","",ROW()-7)</f>
        <v/>
      </c>
      <c r="B320" s="79"/>
      <c r="C320" s="75"/>
      <c r="D320" s="76"/>
      <c r="E320" s="80"/>
      <c r="F320" s="79"/>
      <c r="G320" s="76"/>
      <c r="H320" s="54" t="str">
        <f aca="false">IF(OR(D320="",B320=""),"",IF(F320&lt;&gt;"",F320,B320+IFERROR(INDEX(Suppliers!$Q$7:$Q$106,MATCH(D320,Suppliers!$B$7:$B$106,0)),Setup!$C$7)))</f>
        <v/>
      </c>
      <c r="I320" s="46" t="str">
        <f aca="false">IF(OR(D320="",C320=""),IF(D320="","",0),SUMIFS(Payments!$D$8:$D$507,Payments!$C$8:$C$507,D320,Payments!$F$8:$F$507,C320))</f>
        <v/>
      </c>
      <c r="J320" s="46" t="str">
        <f aca="false">IF(D320="","",MIN(P320,MAX(0,R320-Q320)))</f>
        <v/>
      </c>
      <c r="K320" s="47" t="str">
        <f aca="false">IF(D320="","",P320-J320)</f>
        <v/>
      </c>
      <c r="L320" s="55" t="str">
        <f aca="false">IF(OR(D320="",N(K320)&lt;=0,H320=""),"",MAX(0,Setup!$C$11-H320))</f>
        <v/>
      </c>
      <c r="M320" s="54" t="str">
        <f aca="false">IF(OR(D320="",B320=""),"",IF(IFERROR(INDEX(Suppliers!$S$7:$S$106,MATCH(D320,Suppliers!$B$7:$B$106,0)),"")="","–",B320+IFERROR(INDEX(Suppliers!$S$7:$S$106,MATCH(D320,Suppliers!$B$7:$B$106,0)),"")))</f>
        <v/>
      </c>
      <c r="N320" s="56" t="str">
        <f aca="false">IF(D320="","",IF(N(K320)&lt;=0,"Paid",IF(AND(ISNUMBER(M320),Setup!$C$11&gt;M320),"⚠ MSME late",IF(N(L320)&gt;0,"Overdue",IF(N(V320)&lt;=Setup!$C$9,"⚠ MSME due soon",IF(K320&lt;E320,"Part paid","Not due"))))))</f>
        <v/>
      </c>
      <c r="O320" s="50" t="str">
        <f aca="false">IF(AND(D320="",B320="",C320="",E320=""),"",IF(D320="","⚠ Pick supplier",IF(ISNA(MATCH(D320,Suppliers!$B$7:$B$106,0)),"⚠ Supplier not in list",IF(B320="","⚠ Enter bill date",IF(N(E320)&lt;=0,"⚠ Enter amount",IF(AND(C320&lt;&gt;"",COUNTIFS($D$8:$D$507,D320,$C$8:$C$507,C320)&gt;1),"⚠ Bill no. used twice",IF(N(I320)&gt;N(E320),"⚠ Paid more than bill","✔")))))))</f>
        <v/>
      </c>
      <c r="P320" s="9" t="n">
        <f aca="false">IF(D320="",0,MAX(0,N(E320)-N(I320)))</f>
        <v>0</v>
      </c>
      <c r="Q320" s="9" t="n">
        <f aca="false">IF(D320="",0,SUMIFS($P$8:$P$507,$D$8:$D$507,D320,$B$8:$B$507,"&lt;"&amp;B320)+SUMIFS($P$8:P319,$D$8:D319,D320,$B$8:B319,B320))</f>
        <v>0</v>
      </c>
      <c r="R320" s="9" t="n">
        <f aca="false">IF(D320="",0,IFERROR(INDEX(Suppliers!$R$7:$R$106,MATCH(D320,Suppliers!$B$7:$B$106,0)),0))</f>
        <v>0</v>
      </c>
      <c r="S320" s="9" t="str">
        <f aca="false">IF(N(K320)&gt;0,IF(H320="",99999,MIN(H320,IF(ISNUMBER(M320),M320,H320)))+ROW()/100000,"")</f>
        <v/>
      </c>
      <c r="U320" s="9" t="n">
        <f aca="false">IF(N(K320)&gt;0,N(L320),0)</f>
        <v>0</v>
      </c>
      <c r="V320" s="9" t="n">
        <f aca="false">IF(AND(N(K320)&gt;0,ISNUMBER(M320)),M320-Setup!$C$11,99999)</f>
        <v>99999</v>
      </c>
    </row>
    <row r="321" customFormat="false" ht="15" hidden="false" customHeight="false" outlineLevel="0" collapsed="false">
      <c r="A321" s="40" t="str">
        <f aca="false">IF(D321="","",ROW()-7)</f>
        <v/>
      </c>
      <c r="B321" s="79"/>
      <c r="C321" s="75"/>
      <c r="D321" s="76"/>
      <c r="E321" s="80"/>
      <c r="F321" s="79"/>
      <c r="G321" s="76"/>
      <c r="H321" s="54" t="str">
        <f aca="false">IF(OR(D321="",B321=""),"",IF(F321&lt;&gt;"",F321,B321+IFERROR(INDEX(Suppliers!$Q$7:$Q$106,MATCH(D321,Suppliers!$B$7:$B$106,0)),Setup!$C$7)))</f>
        <v/>
      </c>
      <c r="I321" s="46" t="str">
        <f aca="false">IF(OR(D321="",C321=""),IF(D321="","",0),SUMIFS(Payments!$D$8:$D$507,Payments!$C$8:$C$507,D321,Payments!$F$8:$F$507,C321))</f>
        <v/>
      </c>
      <c r="J321" s="46" t="str">
        <f aca="false">IF(D321="","",MIN(P321,MAX(0,R321-Q321)))</f>
        <v/>
      </c>
      <c r="K321" s="47" t="str">
        <f aca="false">IF(D321="","",P321-J321)</f>
        <v/>
      </c>
      <c r="L321" s="55" t="str">
        <f aca="false">IF(OR(D321="",N(K321)&lt;=0,H321=""),"",MAX(0,Setup!$C$11-H321))</f>
        <v/>
      </c>
      <c r="M321" s="54" t="str">
        <f aca="false">IF(OR(D321="",B321=""),"",IF(IFERROR(INDEX(Suppliers!$S$7:$S$106,MATCH(D321,Suppliers!$B$7:$B$106,0)),"")="","–",B321+IFERROR(INDEX(Suppliers!$S$7:$S$106,MATCH(D321,Suppliers!$B$7:$B$106,0)),"")))</f>
        <v/>
      </c>
      <c r="N321" s="56" t="str">
        <f aca="false">IF(D321="","",IF(N(K321)&lt;=0,"Paid",IF(AND(ISNUMBER(M321),Setup!$C$11&gt;M321),"⚠ MSME late",IF(N(L321)&gt;0,"Overdue",IF(N(V321)&lt;=Setup!$C$9,"⚠ MSME due soon",IF(K321&lt;E321,"Part paid","Not due"))))))</f>
        <v/>
      </c>
      <c r="O321" s="50" t="str">
        <f aca="false">IF(AND(D321="",B321="",C321="",E321=""),"",IF(D321="","⚠ Pick supplier",IF(ISNA(MATCH(D321,Suppliers!$B$7:$B$106,0)),"⚠ Supplier not in list",IF(B321="","⚠ Enter bill date",IF(N(E321)&lt;=0,"⚠ Enter amount",IF(AND(C321&lt;&gt;"",COUNTIFS($D$8:$D$507,D321,$C$8:$C$507,C321)&gt;1),"⚠ Bill no. used twice",IF(N(I321)&gt;N(E321),"⚠ Paid more than bill","✔")))))))</f>
        <v/>
      </c>
      <c r="P321" s="9" t="n">
        <f aca="false">IF(D321="",0,MAX(0,N(E321)-N(I321)))</f>
        <v>0</v>
      </c>
      <c r="Q321" s="9" t="n">
        <f aca="false">IF(D321="",0,SUMIFS($P$8:$P$507,$D$8:$D$507,D321,$B$8:$B$507,"&lt;"&amp;B321)+SUMIFS($P$8:P320,$D$8:D320,D321,$B$8:B320,B321))</f>
        <v>0</v>
      </c>
      <c r="R321" s="9" t="n">
        <f aca="false">IF(D321="",0,IFERROR(INDEX(Suppliers!$R$7:$R$106,MATCH(D321,Suppliers!$B$7:$B$106,0)),0))</f>
        <v>0</v>
      </c>
      <c r="S321" s="9" t="str">
        <f aca="false">IF(N(K321)&gt;0,IF(H321="",99999,MIN(H321,IF(ISNUMBER(M321),M321,H321)))+ROW()/100000,"")</f>
        <v/>
      </c>
      <c r="U321" s="9" t="n">
        <f aca="false">IF(N(K321)&gt;0,N(L321),0)</f>
        <v>0</v>
      </c>
      <c r="V321" s="9" t="n">
        <f aca="false">IF(AND(N(K321)&gt;0,ISNUMBER(M321)),M321-Setup!$C$11,99999)</f>
        <v>99999</v>
      </c>
    </row>
    <row r="322" customFormat="false" ht="15" hidden="false" customHeight="false" outlineLevel="0" collapsed="false">
      <c r="A322" s="40" t="str">
        <f aca="false">IF(D322="","",ROW()-7)</f>
        <v/>
      </c>
      <c r="B322" s="79"/>
      <c r="C322" s="75"/>
      <c r="D322" s="76"/>
      <c r="E322" s="80"/>
      <c r="F322" s="79"/>
      <c r="G322" s="76"/>
      <c r="H322" s="54" t="str">
        <f aca="false">IF(OR(D322="",B322=""),"",IF(F322&lt;&gt;"",F322,B322+IFERROR(INDEX(Suppliers!$Q$7:$Q$106,MATCH(D322,Suppliers!$B$7:$B$106,0)),Setup!$C$7)))</f>
        <v/>
      </c>
      <c r="I322" s="46" t="str">
        <f aca="false">IF(OR(D322="",C322=""),IF(D322="","",0),SUMIFS(Payments!$D$8:$D$507,Payments!$C$8:$C$507,D322,Payments!$F$8:$F$507,C322))</f>
        <v/>
      </c>
      <c r="J322" s="46" t="str">
        <f aca="false">IF(D322="","",MIN(P322,MAX(0,R322-Q322)))</f>
        <v/>
      </c>
      <c r="K322" s="47" t="str">
        <f aca="false">IF(D322="","",P322-J322)</f>
        <v/>
      </c>
      <c r="L322" s="55" t="str">
        <f aca="false">IF(OR(D322="",N(K322)&lt;=0,H322=""),"",MAX(0,Setup!$C$11-H322))</f>
        <v/>
      </c>
      <c r="M322" s="54" t="str">
        <f aca="false">IF(OR(D322="",B322=""),"",IF(IFERROR(INDEX(Suppliers!$S$7:$S$106,MATCH(D322,Suppliers!$B$7:$B$106,0)),"")="","–",B322+IFERROR(INDEX(Suppliers!$S$7:$S$106,MATCH(D322,Suppliers!$B$7:$B$106,0)),"")))</f>
        <v/>
      </c>
      <c r="N322" s="56" t="str">
        <f aca="false">IF(D322="","",IF(N(K322)&lt;=0,"Paid",IF(AND(ISNUMBER(M322),Setup!$C$11&gt;M322),"⚠ MSME late",IF(N(L322)&gt;0,"Overdue",IF(N(V322)&lt;=Setup!$C$9,"⚠ MSME due soon",IF(K322&lt;E322,"Part paid","Not due"))))))</f>
        <v/>
      </c>
      <c r="O322" s="50" t="str">
        <f aca="false">IF(AND(D322="",B322="",C322="",E322=""),"",IF(D322="","⚠ Pick supplier",IF(ISNA(MATCH(D322,Suppliers!$B$7:$B$106,0)),"⚠ Supplier not in list",IF(B322="","⚠ Enter bill date",IF(N(E322)&lt;=0,"⚠ Enter amount",IF(AND(C322&lt;&gt;"",COUNTIFS($D$8:$D$507,D322,$C$8:$C$507,C322)&gt;1),"⚠ Bill no. used twice",IF(N(I322)&gt;N(E322),"⚠ Paid more than bill","✔")))))))</f>
        <v/>
      </c>
      <c r="P322" s="9" t="n">
        <f aca="false">IF(D322="",0,MAX(0,N(E322)-N(I322)))</f>
        <v>0</v>
      </c>
      <c r="Q322" s="9" t="n">
        <f aca="false">IF(D322="",0,SUMIFS($P$8:$P$507,$D$8:$D$507,D322,$B$8:$B$507,"&lt;"&amp;B322)+SUMIFS($P$8:P321,$D$8:D321,D322,$B$8:B321,B322))</f>
        <v>0</v>
      </c>
      <c r="R322" s="9" t="n">
        <f aca="false">IF(D322="",0,IFERROR(INDEX(Suppliers!$R$7:$R$106,MATCH(D322,Suppliers!$B$7:$B$106,0)),0))</f>
        <v>0</v>
      </c>
      <c r="S322" s="9" t="str">
        <f aca="false">IF(N(K322)&gt;0,IF(H322="",99999,MIN(H322,IF(ISNUMBER(M322),M322,H322)))+ROW()/100000,"")</f>
        <v/>
      </c>
      <c r="U322" s="9" t="n">
        <f aca="false">IF(N(K322)&gt;0,N(L322),0)</f>
        <v>0</v>
      </c>
      <c r="V322" s="9" t="n">
        <f aca="false">IF(AND(N(K322)&gt;0,ISNUMBER(M322)),M322-Setup!$C$11,99999)</f>
        <v>99999</v>
      </c>
    </row>
    <row r="323" customFormat="false" ht="15" hidden="false" customHeight="false" outlineLevel="0" collapsed="false">
      <c r="A323" s="40" t="str">
        <f aca="false">IF(D323="","",ROW()-7)</f>
        <v/>
      </c>
      <c r="B323" s="79"/>
      <c r="C323" s="75"/>
      <c r="D323" s="76"/>
      <c r="E323" s="80"/>
      <c r="F323" s="79"/>
      <c r="G323" s="76"/>
      <c r="H323" s="54" t="str">
        <f aca="false">IF(OR(D323="",B323=""),"",IF(F323&lt;&gt;"",F323,B323+IFERROR(INDEX(Suppliers!$Q$7:$Q$106,MATCH(D323,Suppliers!$B$7:$B$106,0)),Setup!$C$7)))</f>
        <v/>
      </c>
      <c r="I323" s="46" t="str">
        <f aca="false">IF(OR(D323="",C323=""),IF(D323="","",0),SUMIFS(Payments!$D$8:$D$507,Payments!$C$8:$C$507,D323,Payments!$F$8:$F$507,C323))</f>
        <v/>
      </c>
      <c r="J323" s="46" t="str">
        <f aca="false">IF(D323="","",MIN(P323,MAX(0,R323-Q323)))</f>
        <v/>
      </c>
      <c r="K323" s="47" t="str">
        <f aca="false">IF(D323="","",P323-J323)</f>
        <v/>
      </c>
      <c r="L323" s="55" t="str">
        <f aca="false">IF(OR(D323="",N(K323)&lt;=0,H323=""),"",MAX(0,Setup!$C$11-H323))</f>
        <v/>
      </c>
      <c r="M323" s="54" t="str">
        <f aca="false">IF(OR(D323="",B323=""),"",IF(IFERROR(INDEX(Suppliers!$S$7:$S$106,MATCH(D323,Suppliers!$B$7:$B$106,0)),"")="","–",B323+IFERROR(INDEX(Suppliers!$S$7:$S$106,MATCH(D323,Suppliers!$B$7:$B$106,0)),"")))</f>
        <v/>
      </c>
      <c r="N323" s="56" t="str">
        <f aca="false">IF(D323="","",IF(N(K323)&lt;=0,"Paid",IF(AND(ISNUMBER(M323),Setup!$C$11&gt;M323),"⚠ MSME late",IF(N(L323)&gt;0,"Overdue",IF(N(V323)&lt;=Setup!$C$9,"⚠ MSME due soon",IF(K323&lt;E323,"Part paid","Not due"))))))</f>
        <v/>
      </c>
      <c r="O323" s="50" t="str">
        <f aca="false">IF(AND(D323="",B323="",C323="",E323=""),"",IF(D323="","⚠ Pick supplier",IF(ISNA(MATCH(D323,Suppliers!$B$7:$B$106,0)),"⚠ Supplier not in list",IF(B323="","⚠ Enter bill date",IF(N(E323)&lt;=0,"⚠ Enter amount",IF(AND(C323&lt;&gt;"",COUNTIFS($D$8:$D$507,D323,$C$8:$C$507,C323)&gt;1),"⚠ Bill no. used twice",IF(N(I323)&gt;N(E323),"⚠ Paid more than bill","✔")))))))</f>
        <v/>
      </c>
      <c r="P323" s="9" t="n">
        <f aca="false">IF(D323="",0,MAX(0,N(E323)-N(I323)))</f>
        <v>0</v>
      </c>
      <c r="Q323" s="9" t="n">
        <f aca="false">IF(D323="",0,SUMIFS($P$8:$P$507,$D$8:$D$507,D323,$B$8:$B$507,"&lt;"&amp;B323)+SUMIFS($P$8:P322,$D$8:D322,D323,$B$8:B322,B323))</f>
        <v>0</v>
      </c>
      <c r="R323" s="9" t="n">
        <f aca="false">IF(D323="",0,IFERROR(INDEX(Suppliers!$R$7:$R$106,MATCH(D323,Suppliers!$B$7:$B$106,0)),0))</f>
        <v>0</v>
      </c>
      <c r="S323" s="9" t="str">
        <f aca="false">IF(N(K323)&gt;0,IF(H323="",99999,MIN(H323,IF(ISNUMBER(M323),M323,H323)))+ROW()/100000,"")</f>
        <v/>
      </c>
      <c r="U323" s="9" t="n">
        <f aca="false">IF(N(K323)&gt;0,N(L323),0)</f>
        <v>0</v>
      </c>
      <c r="V323" s="9" t="n">
        <f aca="false">IF(AND(N(K323)&gt;0,ISNUMBER(M323)),M323-Setup!$C$11,99999)</f>
        <v>99999</v>
      </c>
    </row>
    <row r="324" customFormat="false" ht="15" hidden="false" customHeight="false" outlineLevel="0" collapsed="false">
      <c r="A324" s="40" t="str">
        <f aca="false">IF(D324="","",ROW()-7)</f>
        <v/>
      </c>
      <c r="B324" s="79"/>
      <c r="C324" s="75"/>
      <c r="D324" s="76"/>
      <c r="E324" s="80"/>
      <c r="F324" s="79"/>
      <c r="G324" s="76"/>
      <c r="H324" s="54" t="str">
        <f aca="false">IF(OR(D324="",B324=""),"",IF(F324&lt;&gt;"",F324,B324+IFERROR(INDEX(Suppliers!$Q$7:$Q$106,MATCH(D324,Suppliers!$B$7:$B$106,0)),Setup!$C$7)))</f>
        <v/>
      </c>
      <c r="I324" s="46" t="str">
        <f aca="false">IF(OR(D324="",C324=""),IF(D324="","",0),SUMIFS(Payments!$D$8:$D$507,Payments!$C$8:$C$507,D324,Payments!$F$8:$F$507,C324))</f>
        <v/>
      </c>
      <c r="J324" s="46" t="str">
        <f aca="false">IF(D324="","",MIN(P324,MAX(0,R324-Q324)))</f>
        <v/>
      </c>
      <c r="K324" s="47" t="str">
        <f aca="false">IF(D324="","",P324-J324)</f>
        <v/>
      </c>
      <c r="L324" s="55" t="str">
        <f aca="false">IF(OR(D324="",N(K324)&lt;=0,H324=""),"",MAX(0,Setup!$C$11-H324))</f>
        <v/>
      </c>
      <c r="M324" s="54" t="str">
        <f aca="false">IF(OR(D324="",B324=""),"",IF(IFERROR(INDEX(Suppliers!$S$7:$S$106,MATCH(D324,Suppliers!$B$7:$B$106,0)),"")="","–",B324+IFERROR(INDEX(Suppliers!$S$7:$S$106,MATCH(D324,Suppliers!$B$7:$B$106,0)),"")))</f>
        <v/>
      </c>
      <c r="N324" s="56" t="str">
        <f aca="false">IF(D324="","",IF(N(K324)&lt;=0,"Paid",IF(AND(ISNUMBER(M324),Setup!$C$11&gt;M324),"⚠ MSME late",IF(N(L324)&gt;0,"Overdue",IF(N(V324)&lt;=Setup!$C$9,"⚠ MSME due soon",IF(K324&lt;E324,"Part paid","Not due"))))))</f>
        <v/>
      </c>
      <c r="O324" s="50" t="str">
        <f aca="false">IF(AND(D324="",B324="",C324="",E324=""),"",IF(D324="","⚠ Pick supplier",IF(ISNA(MATCH(D324,Suppliers!$B$7:$B$106,0)),"⚠ Supplier not in list",IF(B324="","⚠ Enter bill date",IF(N(E324)&lt;=0,"⚠ Enter amount",IF(AND(C324&lt;&gt;"",COUNTIFS($D$8:$D$507,D324,$C$8:$C$507,C324)&gt;1),"⚠ Bill no. used twice",IF(N(I324)&gt;N(E324),"⚠ Paid more than bill","✔")))))))</f>
        <v/>
      </c>
      <c r="P324" s="9" t="n">
        <f aca="false">IF(D324="",0,MAX(0,N(E324)-N(I324)))</f>
        <v>0</v>
      </c>
      <c r="Q324" s="9" t="n">
        <f aca="false">IF(D324="",0,SUMIFS($P$8:$P$507,$D$8:$D$507,D324,$B$8:$B$507,"&lt;"&amp;B324)+SUMIFS($P$8:P323,$D$8:D323,D324,$B$8:B323,B324))</f>
        <v>0</v>
      </c>
      <c r="R324" s="9" t="n">
        <f aca="false">IF(D324="",0,IFERROR(INDEX(Suppliers!$R$7:$R$106,MATCH(D324,Suppliers!$B$7:$B$106,0)),0))</f>
        <v>0</v>
      </c>
      <c r="S324" s="9" t="str">
        <f aca="false">IF(N(K324)&gt;0,IF(H324="",99999,MIN(H324,IF(ISNUMBER(M324),M324,H324)))+ROW()/100000,"")</f>
        <v/>
      </c>
      <c r="U324" s="9" t="n">
        <f aca="false">IF(N(K324)&gt;0,N(L324),0)</f>
        <v>0</v>
      </c>
      <c r="V324" s="9" t="n">
        <f aca="false">IF(AND(N(K324)&gt;0,ISNUMBER(M324)),M324-Setup!$C$11,99999)</f>
        <v>99999</v>
      </c>
    </row>
    <row r="325" customFormat="false" ht="15" hidden="false" customHeight="false" outlineLevel="0" collapsed="false">
      <c r="A325" s="40" t="str">
        <f aca="false">IF(D325="","",ROW()-7)</f>
        <v/>
      </c>
      <c r="B325" s="79"/>
      <c r="C325" s="75"/>
      <c r="D325" s="76"/>
      <c r="E325" s="80"/>
      <c r="F325" s="79"/>
      <c r="G325" s="76"/>
      <c r="H325" s="54" t="str">
        <f aca="false">IF(OR(D325="",B325=""),"",IF(F325&lt;&gt;"",F325,B325+IFERROR(INDEX(Suppliers!$Q$7:$Q$106,MATCH(D325,Suppliers!$B$7:$B$106,0)),Setup!$C$7)))</f>
        <v/>
      </c>
      <c r="I325" s="46" t="str">
        <f aca="false">IF(OR(D325="",C325=""),IF(D325="","",0),SUMIFS(Payments!$D$8:$D$507,Payments!$C$8:$C$507,D325,Payments!$F$8:$F$507,C325))</f>
        <v/>
      </c>
      <c r="J325" s="46" t="str">
        <f aca="false">IF(D325="","",MIN(P325,MAX(0,R325-Q325)))</f>
        <v/>
      </c>
      <c r="K325" s="47" t="str">
        <f aca="false">IF(D325="","",P325-J325)</f>
        <v/>
      </c>
      <c r="L325" s="55" t="str">
        <f aca="false">IF(OR(D325="",N(K325)&lt;=0,H325=""),"",MAX(0,Setup!$C$11-H325))</f>
        <v/>
      </c>
      <c r="M325" s="54" t="str">
        <f aca="false">IF(OR(D325="",B325=""),"",IF(IFERROR(INDEX(Suppliers!$S$7:$S$106,MATCH(D325,Suppliers!$B$7:$B$106,0)),"")="","–",B325+IFERROR(INDEX(Suppliers!$S$7:$S$106,MATCH(D325,Suppliers!$B$7:$B$106,0)),"")))</f>
        <v/>
      </c>
      <c r="N325" s="56" t="str">
        <f aca="false">IF(D325="","",IF(N(K325)&lt;=0,"Paid",IF(AND(ISNUMBER(M325),Setup!$C$11&gt;M325),"⚠ MSME late",IF(N(L325)&gt;0,"Overdue",IF(N(V325)&lt;=Setup!$C$9,"⚠ MSME due soon",IF(K325&lt;E325,"Part paid","Not due"))))))</f>
        <v/>
      </c>
      <c r="O325" s="50" t="str">
        <f aca="false">IF(AND(D325="",B325="",C325="",E325=""),"",IF(D325="","⚠ Pick supplier",IF(ISNA(MATCH(D325,Suppliers!$B$7:$B$106,0)),"⚠ Supplier not in list",IF(B325="","⚠ Enter bill date",IF(N(E325)&lt;=0,"⚠ Enter amount",IF(AND(C325&lt;&gt;"",COUNTIFS($D$8:$D$507,D325,$C$8:$C$507,C325)&gt;1),"⚠ Bill no. used twice",IF(N(I325)&gt;N(E325),"⚠ Paid more than bill","✔")))))))</f>
        <v/>
      </c>
      <c r="P325" s="9" t="n">
        <f aca="false">IF(D325="",0,MAX(0,N(E325)-N(I325)))</f>
        <v>0</v>
      </c>
      <c r="Q325" s="9" t="n">
        <f aca="false">IF(D325="",0,SUMIFS($P$8:$P$507,$D$8:$D$507,D325,$B$8:$B$507,"&lt;"&amp;B325)+SUMIFS($P$8:P324,$D$8:D324,D325,$B$8:B324,B325))</f>
        <v>0</v>
      </c>
      <c r="R325" s="9" t="n">
        <f aca="false">IF(D325="",0,IFERROR(INDEX(Suppliers!$R$7:$R$106,MATCH(D325,Suppliers!$B$7:$B$106,0)),0))</f>
        <v>0</v>
      </c>
      <c r="S325" s="9" t="str">
        <f aca="false">IF(N(K325)&gt;0,IF(H325="",99999,MIN(H325,IF(ISNUMBER(M325),M325,H325)))+ROW()/100000,"")</f>
        <v/>
      </c>
      <c r="U325" s="9" t="n">
        <f aca="false">IF(N(K325)&gt;0,N(L325),0)</f>
        <v>0</v>
      </c>
      <c r="V325" s="9" t="n">
        <f aca="false">IF(AND(N(K325)&gt;0,ISNUMBER(M325)),M325-Setup!$C$11,99999)</f>
        <v>99999</v>
      </c>
    </row>
    <row r="326" customFormat="false" ht="15" hidden="false" customHeight="false" outlineLevel="0" collapsed="false">
      <c r="A326" s="40" t="str">
        <f aca="false">IF(D326="","",ROW()-7)</f>
        <v/>
      </c>
      <c r="B326" s="79"/>
      <c r="C326" s="75"/>
      <c r="D326" s="76"/>
      <c r="E326" s="80"/>
      <c r="F326" s="79"/>
      <c r="G326" s="76"/>
      <c r="H326" s="54" t="str">
        <f aca="false">IF(OR(D326="",B326=""),"",IF(F326&lt;&gt;"",F326,B326+IFERROR(INDEX(Suppliers!$Q$7:$Q$106,MATCH(D326,Suppliers!$B$7:$B$106,0)),Setup!$C$7)))</f>
        <v/>
      </c>
      <c r="I326" s="46" t="str">
        <f aca="false">IF(OR(D326="",C326=""),IF(D326="","",0),SUMIFS(Payments!$D$8:$D$507,Payments!$C$8:$C$507,D326,Payments!$F$8:$F$507,C326))</f>
        <v/>
      </c>
      <c r="J326" s="46" t="str">
        <f aca="false">IF(D326="","",MIN(P326,MAX(0,R326-Q326)))</f>
        <v/>
      </c>
      <c r="K326" s="47" t="str">
        <f aca="false">IF(D326="","",P326-J326)</f>
        <v/>
      </c>
      <c r="L326" s="55" t="str">
        <f aca="false">IF(OR(D326="",N(K326)&lt;=0,H326=""),"",MAX(0,Setup!$C$11-H326))</f>
        <v/>
      </c>
      <c r="M326" s="54" t="str">
        <f aca="false">IF(OR(D326="",B326=""),"",IF(IFERROR(INDEX(Suppliers!$S$7:$S$106,MATCH(D326,Suppliers!$B$7:$B$106,0)),"")="","–",B326+IFERROR(INDEX(Suppliers!$S$7:$S$106,MATCH(D326,Suppliers!$B$7:$B$106,0)),"")))</f>
        <v/>
      </c>
      <c r="N326" s="56" t="str">
        <f aca="false">IF(D326="","",IF(N(K326)&lt;=0,"Paid",IF(AND(ISNUMBER(M326),Setup!$C$11&gt;M326),"⚠ MSME late",IF(N(L326)&gt;0,"Overdue",IF(N(V326)&lt;=Setup!$C$9,"⚠ MSME due soon",IF(K326&lt;E326,"Part paid","Not due"))))))</f>
        <v/>
      </c>
      <c r="O326" s="50" t="str">
        <f aca="false">IF(AND(D326="",B326="",C326="",E326=""),"",IF(D326="","⚠ Pick supplier",IF(ISNA(MATCH(D326,Suppliers!$B$7:$B$106,0)),"⚠ Supplier not in list",IF(B326="","⚠ Enter bill date",IF(N(E326)&lt;=0,"⚠ Enter amount",IF(AND(C326&lt;&gt;"",COUNTIFS($D$8:$D$507,D326,$C$8:$C$507,C326)&gt;1),"⚠ Bill no. used twice",IF(N(I326)&gt;N(E326),"⚠ Paid more than bill","✔")))))))</f>
        <v/>
      </c>
      <c r="P326" s="9" t="n">
        <f aca="false">IF(D326="",0,MAX(0,N(E326)-N(I326)))</f>
        <v>0</v>
      </c>
      <c r="Q326" s="9" t="n">
        <f aca="false">IF(D326="",0,SUMIFS($P$8:$P$507,$D$8:$D$507,D326,$B$8:$B$507,"&lt;"&amp;B326)+SUMIFS($P$8:P325,$D$8:D325,D326,$B$8:B325,B326))</f>
        <v>0</v>
      </c>
      <c r="R326" s="9" t="n">
        <f aca="false">IF(D326="",0,IFERROR(INDEX(Suppliers!$R$7:$R$106,MATCH(D326,Suppliers!$B$7:$B$106,0)),0))</f>
        <v>0</v>
      </c>
      <c r="S326" s="9" t="str">
        <f aca="false">IF(N(K326)&gt;0,IF(H326="",99999,MIN(H326,IF(ISNUMBER(M326),M326,H326)))+ROW()/100000,"")</f>
        <v/>
      </c>
      <c r="U326" s="9" t="n">
        <f aca="false">IF(N(K326)&gt;0,N(L326),0)</f>
        <v>0</v>
      </c>
      <c r="V326" s="9" t="n">
        <f aca="false">IF(AND(N(K326)&gt;0,ISNUMBER(M326)),M326-Setup!$C$11,99999)</f>
        <v>99999</v>
      </c>
    </row>
    <row r="327" customFormat="false" ht="15" hidden="false" customHeight="false" outlineLevel="0" collapsed="false">
      <c r="A327" s="40" t="str">
        <f aca="false">IF(D327="","",ROW()-7)</f>
        <v/>
      </c>
      <c r="B327" s="79"/>
      <c r="C327" s="75"/>
      <c r="D327" s="76"/>
      <c r="E327" s="80"/>
      <c r="F327" s="79"/>
      <c r="G327" s="76"/>
      <c r="H327" s="54" t="str">
        <f aca="false">IF(OR(D327="",B327=""),"",IF(F327&lt;&gt;"",F327,B327+IFERROR(INDEX(Suppliers!$Q$7:$Q$106,MATCH(D327,Suppliers!$B$7:$B$106,0)),Setup!$C$7)))</f>
        <v/>
      </c>
      <c r="I327" s="46" t="str">
        <f aca="false">IF(OR(D327="",C327=""),IF(D327="","",0),SUMIFS(Payments!$D$8:$D$507,Payments!$C$8:$C$507,D327,Payments!$F$8:$F$507,C327))</f>
        <v/>
      </c>
      <c r="J327" s="46" t="str">
        <f aca="false">IF(D327="","",MIN(P327,MAX(0,R327-Q327)))</f>
        <v/>
      </c>
      <c r="K327" s="47" t="str">
        <f aca="false">IF(D327="","",P327-J327)</f>
        <v/>
      </c>
      <c r="L327" s="55" t="str">
        <f aca="false">IF(OR(D327="",N(K327)&lt;=0,H327=""),"",MAX(0,Setup!$C$11-H327))</f>
        <v/>
      </c>
      <c r="M327" s="54" t="str">
        <f aca="false">IF(OR(D327="",B327=""),"",IF(IFERROR(INDEX(Suppliers!$S$7:$S$106,MATCH(D327,Suppliers!$B$7:$B$106,0)),"")="","–",B327+IFERROR(INDEX(Suppliers!$S$7:$S$106,MATCH(D327,Suppliers!$B$7:$B$106,0)),"")))</f>
        <v/>
      </c>
      <c r="N327" s="56" t="str">
        <f aca="false">IF(D327="","",IF(N(K327)&lt;=0,"Paid",IF(AND(ISNUMBER(M327),Setup!$C$11&gt;M327),"⚠ MSME late",IF(N(L327)&gt;0,"Overdue",IF(N(V327)&lt;=Setup!$C$9,"⚠ MSME due soon",IF(K327&lt;E327,"Part paid","Not due"))))))</f>
        <v/>
      </c>
      <c r="O327" s="50" t="str">
        <f aca="false">IF(AND(D327="",B327="",C327="",E327=""),"",IF(D327="","⚠ Pick supplier",IF(ISNA(MATCH(D327,Suppliers!$B$7:$B$106,0)),"⚠ Supplier not in list",IF(B327="","⚠ Enter bill date",IF(N(E327)&lt;=0,"⚠ Enter amount",IF(AND(C327&lt;&gt;"",COUNTIFS($D$8:$D$507,D327,$C$8:$C$507,C327)&gt;1),"⚠ Bill no. used twice",IF(N(I327)&gt;N(E327),"⚠ Paid more than bill","✔")))))))</f>
        <v/>
      </c>
      <c r="P327" s="9" t="n">
        <f aca="false">IF(D327="",0,MAX(0,N(E327)-N(I327)))</f>
        <v>0</v>
      </c>
      <c r="Q327" s="9" t="n">
        <f aca="false">IF(D327="",0,SUMIFS($P$8:$P$507,$D$8:$D$507,D327,$B$8:$B$507,"&lt;"&amp;B327)+SUMIFS($P$8:P326,$D$8:D326,D327,$B$8:B326,B327))</f>
        <v>0</v>
      </c>
      <c r="R327" s="9" t="n">
        <f aca="false">IF(D327="",0,IFERROR(INDEX(Suppliers!$R$7:$R$106,MATCH(D327,Suppliers!$B$7:$B$106,0)),0))</f>
        <v>0</v>
      </c>
      <c r="S327" s="9" t="str">
        <f aca="false">IF(N(K327)&gt;0,IF(H327="",99999,MIN(H327,IF(ISNUMBER(M327),M327,H327)))+ROW()/100000,"")</f>
        <v/>
      </c>
      <c r="U327" s="9" t="n">
        <f aca="false">IF(N(K327)&gt;0,N(L327),0)</f>
        <v>0</v>
      </c>
      <c r="V327" s="9" t="n">
        <f aca="false">IF(AND(N(K327)&gt;0,ISNUMBER(M327)),M327-Setup!$C$11,99999)</f>
        <v>99999</v>
      </c>
    </row>
    <row r="328" customFormat="false" ht="15" hidden="false" customHeight="false" outlineLevel="0" collapsed="false">
      <c r="A328" s="40" t="str">
        <f aca="false">IF(D328="","",ROW()-7)</f>
        <v/>
      </c>
      <c r="B328" s="79"/>
      <c r="C328" s="75"/>
      <c r="D328" s="76"/>
      <c r="E328" s="80"/>
      <c r="F328" s="79"/>
      <c r="G328" s="76"/>
      <c r="H328" s="54" t="str">
        <f aca="false">IF(OR(D328="",B328=""),"",IF(F328&lt;&gt;"",F328,B328+IFERROR(INDEX(Suppliers!$Q$7:$Q$106,MATCH(D328,Suppliers!$B$7:$B$106,0)),Setup!$C$7)))</f>
        <v/>
      </c>
      <c r="I328" s="46" t="str">
        <f aca="false">IF(OR(D328="",C328=""),IF(D328="","",0),SUMIFS(Payments!$D$8:$D$507,Payments!$C$8:$C$507,D328,Payments!$F$8:$F$507,C328))</f>
        <v/>
      </c>
      <c r="J328" s="46" t="str">
        <f aca="false">IF(D328="","",MIN(P328,MAX(0,R328-Q328)))</f>
        <v/>
      </c>
      <c r="K328" s="47" t="str">
        <f aca="false">IF(D328="","",P328-J328)</f>
        <v/>
      </c>
      <c r="L328" s="55" t="str">
        <f aca="false">IF(OR(D328="",N(K328)&lt;=0,H328=""),"",MAX(0,Setup!$C$11-H328))</f>
        <v/>
      </c>
      <c r="M328" s="54" t="str">
        <f aca="false">IF(OR(D328="",B328=""),"",IF(IFERROR(INDEX(Suppliers!$S$7:$S$106,MATCH(D328,Suppliers!$B$7:$B$106,0)),"")="","–",B328+IFERROR(INDEX(Suppliers!$S$7:$S$106,MATCH(D328,Suppliers!$B$7:$B$106,0)),"")))</f>
        <v/>
      </c>
      <c r="N328" s="56" t="str">
        <f aca="false">IF(D328="","",IF(N(K328)&lt;=0,"Paid",IF(AND(ISNUMBER(M328),Setup!$C$11&gt;M328),"⚠ MSME late",IF(N(L328)&gt;0,"Overdue",IF(N(V328)&lt;=Setup!$C$9,"⚠ MSME due soon",IF(K328&lt;E328,"Part paid","Not due"))))))</f>
        <v/>
      </c>
      <c r="O328" s="50" t="str">
        <f aca="false">IF(AND(D328="",B328="",C328="",E328=""),"",IF(D328="","⚠ Pick supplier",IF(ISNA(MATCH(D328,Suppliers!$B$7:$B$106,0)),"⚠ Supplier not in list",IF(B328="","⚠ Enter bill date",IF(N(E328)&lt;=0,"⚠ Enter amount",IF(AND(C328&lt;&gt;"",COUNTIFS($D$8:$D$507,D328,$C$8:$C$507,C328)&gt;1),"⚠ Bill no. used twice",IF(N(I328)&gt;N(E328),"⚠ Paid more than bill","✔")))))))</f>
        <v/>
      </c>
      <c r="P328" s="9" t="n">
        <f aca="false">IF(D328="",0,MAX(0,N(E328)-N(I328)))</f>
        <v>0</v>
      </c>
      <c r="Q328" s="9" t="n">
        <f aca="false">IF(D328="",0,SUMIFS($P$8:$P$507,$D$8:$D$507,D328,$B$8:$B$507,"&lt;"&amp;B328)+SUMIFS($P$8:P327,$D$8:D327,D328,$B$8:B327,B328))</f>
        <v>0</v>
      </c>
      <c r="R328" s="9" t="n">
        <f aca="false">IF(D328="",0,IFERROR(INDEX(Suppliers!$R$7:$R$106,MATCH(D328,Suppliers!$B$7:$B$106,0)),0))</f>
        <v>0</v>
      </c>
      <c r="S328" s="9" t="str">
        <f aca="false">IF(N(K328)&gt;0,IF(H328="",99999,MIN(H328,IF(ISNUMBER(M328),M328,H328)))+ROW()/100000,"")</f>
        <v/>
      </c>
      <c r="U328" s="9" t="n">
        <f aca="false">IF(N(K328)&gt;0,N(L328),0)</f>
        <v>0</v>
      </c>
      <c r="V328" s="9" t="n">
        <f aca="false">IF(AND(N(K328)&gt;0,ISNUMBER(M328)),M328-Setup!$C$11,99999)</f>
        <v>99999</v>
      </c>
    </row>
    <row r="329" customFormat="false" ht="15" hidden="false" customHeight="false" outlineLevel="0" collapsed="false">
      <c r="A329" s="40" t="str">
        <f aca="false">IF(D329="","",ROW()-7)</f>
        <v/>
      </c>
      <c r="B329" s="79"/>
      <c r="C329" s="75"/>
      <c r="D329" s="76"/>
      <c r="E329" s="80"/>
      <c r="F329" s="79"/>
      <c r="G329" s="76"/>
      <c r="H329" s="54" t="str">
        <f aca="false">IF(OR(D329="",B329=""),"",IF(F329&lt;&gt;"",F329,B329+IFERROR(INDEX(Suppliers!$Q$7:$Q$106,MATCH(D329,Suppliers!$B$7:$B$106,0)),Setup!$C$7)))</f>
        <v/>
      </c>
      <c r="I329" s="46" t="str">
        <f aca="false">IF(OR(D329="",C329=""),IF(D329="","",0),SUMIFS(Payments!$D$8:$D$507,Payments!$C$8:$C$507,D329,Payments!$F$8:$F$507,C329))</f>
        <v/>
      </c>
      <c r="J329" s="46" t="str">
        <f aca="false">IF(D329="","",MIN(P329,MAX(0,R329-Q329)))</f>
        <v/>
      </c>
      <c r="K329" s="47" t="str">
        <f aca="false">IF(D329="","",P329-J329)</f>
        <v/>
      </c>
      <c r="L329" s="55" t="str">
        <f aca="false">IF(OR(D329="",N(K329)&lt;=0,H329=""),"",MAX(0,Setup!$C$11-H329))</f>
        <v/>
      </c>
      <c r="M329" s="54" t="str">
        <f aca="false">IF(OR(D329="",B329=""),"",IF(IFERROR(INDEX(Suppliers!$S$7:$S$106,MATCH(D329,Suppliers!$B$7:$B$106,0)),"")="","–",B329+IFERROR(INDEX(Suppliers!$S$7:$S$106,MATCH(D329,Suppliers!$B$7:$B$106,0)),"")))</f>
        <v/>
      </c>
      <c r="N329" s="56" t="str">
        <f aca="false">IF(D329="","",IF(N(K329)&lt;=0,"Paid",IF(AND(ISNUMBER(M329),Setup!$C$11&gt;M329),"⚠ MSME late",IF(N(L329)&gt;0,"Overdue",IF(N(V329)&lt;=Setup!$C$9,"⚠ MSME due soon",IF(K329&lt;E329,"Part paid","Not due"))))))</f>
        <v/>
      </c>
      <c r="O329" s="50" t="str">
        <f aca="false">IF(AND(D329="",B329="",C329="",E329=""),"",IF(D329="","⚠ Pick supplier",IF(ISNA(MATCH(D329,Suppliers!$B$7:$B$106,0)),"⚠ Supplier not in list",IF(B329="","⚠ Enter bill date",IF(N(E329)&lt;=0,"⚠ Enter amount",IF(AND(C329&lt;&gt;"",COUNTIFS($D$8:$D$507,D329,$C$8:$C$507,C329)&gt;1),"⚠ Bill no. used twice",IF(N(I329)&gt;N(E329),"⚠ Paid more than bill","✔")))))))</f>
        <v/>
      </c>
      <c r="P329" s="9" t="n">
        <f aca="false">IF(D329="",0,MAX(0,N(E329)-N(I329)))</f>
        <v>0</v>
      </c>
      <c r="Q329" s="9" t="n">
        <f aca="false">IF(D329="",0,SUMIFS($P$8:$P$507,$D$8:$D$507,D329,$B$8:$B$507,"&lt;"&amp;B329)+SUMIFS($P$8:P328,$D$8:D328,D329,$B$8:B328,B329))</f>
        <v>0</v>
      </c>
      <c r="R329" s="9" t="n">
        <f aca="false">IF(D329="",0,IFERROR(INDEX(Suppliers!$R$7:$R$106,MATCH(D329,Suppliers!$B$7:$B$106,0)),0))</f>
        <v>0</v>
      </c>
      <c r="S329" s="9" t="str">
        <f aca="false">IF(N(K329)&gt;0,IF(H329="",99999,MIN(H329,IF(ISNUMBER(M329),M329,H329)))+ROW()/100000,"")</f>
        <v/>
      </c>
      <c r="U329" s="9" t="n">
        <f aca="false">IF(N(K329)&gt;0,N(L329),0)</f>
        <v>0</v>
      </c>
      <c r="V329" s="9" t="n">
        <f aca="false">IF(AND(N(K329)&gt;0,ISNUMBER(M329)),M329-Setup!$C$11,99999)</f>
        <v>99999</v>
      </c>
    </row>
    <row r="330" customFormat="false" ht="15" hidden="false" customHeight="false" outlineLevel="0" collapsed="false">
      <c r="A330" s="40" t="str">
        <f aca="false">IF(D330="","",ROW()-7)</f>
        <v/>
      </c>
      <c r="B330" s="79"/>
      <c r="C330" s="75"/>
      <c r="D330" s="76"/>
      <c r="E330" s="80"/>
      <c r="F330" s="79"/>
      <c r="G330" s="76"/>
      <c r="H330" s="54" t="str">
        <f aca="false">IF(OR(D330="",B330=""),"",IF(F330&lt;&gt;"",F330,B330+IFERROR(INDEX(Suppliers!$Q$7:$Q$106,MATCH(D330,Suppliers!$B$7:$B$106,0)),Setup!$C$7)))</f>
        <v/>
      </c>
      <c r="I330" s="46" t="str">
        <f aca="false">IF(OR(D330="",C330=""),IF(D330="","",0),SUMIFS(Payments!$D$8:$D$507,Payments!$C$8:$C$507,D330,Payments!$F$8:$F$507,C330))</f>
        <v/>
      </c>
      <c r="J330" s="46" t="str">
        <f aca="false">IF(D330="","",MIN(P330,MAX(0,R330-Q330)))</f>
        <v/>
      </c>
      <c r="K330" s="47" t="str">
        <f aca="false">IF(D330="","",P330-J330)</f>
        <v/>
      </c>
      <c r="L330" s="55" t="str">
        <f aca="false">IF(OR(D330="",N(K330)&lt;=0,H330=""),"",MAX(0,Setup!$C$11-H330))</f>
        <v/>
      </c>
      <c r="M330" s="54" t="str">
        <f aca="false">IF(OR(D330="",B330=""),"",IF(IFERROR(INDEX(Suppliers!$S$7:$S$106,MATCH(D330,Suppliers!$B$7:$B$106,0)),"")="","–",B330+IFERROR(INDEX(Suppliers!$S$7:$S$106,MATCH(D330,Suppliers!$B$7:$B$106,0)),"")))</f>
        <v/>
      </c>
      <c r="N330" s="56" t="str">
        <f aca="false">IF(D330="","",IF(N(K330)&lt;=0,"Paid",IF(AND(ISNUMBER(M330),Setup!$C$11&gt;M330),"⚠ MSME late",IF(N(L330)&gt;0,"Overdue",IF(N(V330)&lt;=Setup!$C$9,"⚠ MSME due soon",IF(K330&lt;E330,"Part paid","Not due"))))))</f>
        <v/>
      </c>
      <c r="O330" s="50" t="str">
        <f aca="false">IF(AND(D330="",B330="",C330="",E330=""),"",IF(D330="","⚠ Pick supplier",IF(ISNA(MATCH(D330,Suppliers!$B$7:$B$106,0)),"⚠ Supplier not in list",IF(B330="","⚠ Enter bill date",IF(N(E330)&lt;=0,"⚠ Enter amount",IF(AND(C330&lt;&gt;"",COUNTIFS($D$8:$D$507,D330,$C$8:$C$507,C330)&gt;1),"⚠ Bill no. used twice",IF(N(I330)&gt;N(E330),"⚠ Paid more than bill","✔")))))))</f>
        <v/>
      </c>
      <c r="P330" s="9" t="n">
        <f aca="false">IF(D330="",0,MAX(0,N(E330)-N(I330)))</f>
        <v>0</v>
      </c>
      <c r="Q330" s="9" t="n">
        <f aca="false">IF(D330="",0,SUMIFS($P$8:$P$507,$D$8:$D$507,D330,$B$8:$B$507,"&lt;"&amp;B330)+SUMIFS($P$8:P329,$D$8:D329,D330,$B$8:B329,B330))</f>
        <v>0</v>
      </c>
      <c r="R330" s="9" t="n">
        <f aca="false">IF(D330="",0,IFERROR(INDEX(Suppliers!$R$7:$R$106,MATCH(D330,Suppliers!$B$7:$B$106,0)),0))</f>
        <v>0</v>
      </c>
      <c r="S330" s="9" t="str">
        <f aca="false">IF(N(K330)&gt;0,IF(H330="",99999,MIN(H330,IF(ISNUMBER(M330),M330,H330)))+ROW()/100000,"")</f>
        <v/>
      </c>
      <c r="U330" s="9" t="n">
        <f aca="false">IF(N(K330)&gt;0,N(L330),0)</f>
        <v>0</v>
      </c>
      <c r="V330" s="9" t="n">
        <f aca="false">IF(AND(N(K330)&gt;0,ISNUMBER(M330)),M330-Setup!$C$11,99999)</f>
        <v>99999</v>
      </c>
    </row>
    <row r="331" customFormat="false" ht="15" hidden="false" customHeight="false" outlineLevel="0" collapsed="false">
      <c r="A331" s="40" t="str">
        <f aca="false">IF(D331="","",ROW()-7)</f>
        <v/>
      </c>
      <c r="B331" s="79"/>
      <c r="C331" s="75"/>
      <c r="D331" s="76"/>
      <c r="E331" s="80"/>
      <c r="F331" s="79"/>
      <c r="G331" s="76"/>
      <c r="H331" s="54" t="str">
        <f aca="false">IF(OR(D331="",B331=""),"",IF(F331&lt;&gt;"",F331,B331+IFERROR(INDEX(Suppliers!$Q$7:$Q$106,MATCH(D331,Suppliers!$B$7:$B$106,0)),Setup!$C$7)))</f>
        <v/>
      </c>
      <c r="I331" s="46" t="str">
        <f aca="false">IF(OR(D331="",C331=""),IF(D331="","",0),SUMIFS(Payments!$D$8:$D$507,Payments!$C$8:$C$507,D331,Payments!$F$8:$F$507,C331))</f>
        <v/>
      </c>
      <c r="J331" s="46" t="str">
        <f aca="false">IF(D331="","",MIN(P331,MAX(0,R331-Q331)))</f>
        <v/>
      </c>
      <c r="K331" s="47" t="str">
        <f aca="false">IF(D331="","",P331-J331)</f>
        <v/>
      </c>
      <c r="L331" s="55" t="str">
        <f aca="false">IF(OR(D331="",N(K331)&lt;=0,H331=""),"",MAX(0,Setup!$C$11-H331))</f>
        <v/>
      </c>
      <c r="M331" s="54" t="str">
        <f aca="false">IF(OR(D331="",B331=""),"",IF(IFERROR(INDEX(Suppliers!$S$7:$S$106,MATCH(D331,Suppliers!$B$7:$B$106,0)),"")="","–",B331+IFERROR(INDEX(Suppliers!$S$7:$S$106,MATCH(D331,Suppliers!$B$7:$B$106,0)),"")))</f>
        <v/>
      </c>
      <c r="N331" s="56" t="str">
        <f aca="false">IF(D331="","",IF(N(K331)&lt;=0,"Paid",IF(AND(ISNUMBER(M331),Setup!$C$11&gt;M331),"⚠ MSME late",IF(N(L331)&gt;0,"Overdue",IF(N(V331)&lt;=Setup!$C$9,"⚠ MSME due soon",IF(K331&lt;E331,"Part paid","Not due"))))))</f>
        <v/>
      </c>
      <c r="O331" s="50" t="str">
        <f aca="false">IF(AND(D331="",B331="",C331="",E331=""),"",IF(D331="","⚠ Pick supplier",IF(ISNA(MATCH(D331,Suppliers!$B$7:$B$106,0)),"⚠ Supplier not in list",IF(B331="","⚠ Enter bill date",IF(N(E331)&lt;=0,"⚠ Enter amount",IF(AND(C331&lt;&gt;"",COUNTIFS($D$8:$D$507,D331,$C$8:$C$507,C331)&gt;1),"⚠ Bill no. used twice",IF(N(I331)&gt;N(E331),"⚠ Paid more than bill","✔")))))))</f>
        <v/>
      </c>
      <c r="P331" s="9" t="n">
        <f aca="false">IF(D331="",0,MAX(0,N(E331)-N(I331)))</f>
        <v>0</v>
      </c>
      <c r="Q331" s="9" t="n">
        <f aca="false">IF(D331="",0,SUMIFS($P$8:$P$507,$D$8:$D$507,D331,$B$8:$B$507,"&lt;"&amp;B331)+SUMIFS($P$8:P330,$D$8:D330,D331,$B$8:B330,B331))</f>
        <v>0</v>
      </c>
      <c r="R331" s="9" t="n">
        <f aca="false">IF(D331="",0,IFERROR(INDEX(Suppliers!$R$7:$R$106,MATCH(D331,Suppliers!$B$7:$B$106,0)),0))</f>
        <v>0</v>
      </c>
      <c r="S331" s="9" t="str">
        <f aca="false">IF(N(K331)&gt;0,IF(H331="",99999,MIN(H331,IF(ISNUMBER(M331),M331,H331)))+ROW()/100000,"")</f>
        <v/>
      </c>
      <c r="U331" s="9" t="n">
        <f aca="false">IF(N(K331)&gt;0,N(L331),0)</f>
        <v>0</v>
      </c>
      <c r="V331" s="9" t="n">
        <f aca="false">IF(AND(N(K331)&gt;0,ISNUMBER(M331)),M331-Setup!$C$11,99999)</f>
        <v>99999</v>
      </c>
    </row>
    <row r="332" customFormat="false" ht="15" hidden="false" customHeight="false" outlineLevel="0" collapsed="false">
      <c r="A332" s="40" t="str">
        <f aca="false">IF(D332="","",ROW()-7)</f>
        <v/>
      </c>
      <c r="B332" s="79"/>
      <c r="C332" s="75"/>
      <c r="D332" s="76"/>
      <c r="E332" s="80"/>
      <c r="F332" s="79"/>
      <c r="G332" s="76"/>
      <c r="H332" s="54" t="str">
        <f aca="false">IF(OR(D332="",B332=""),"",IF(F332&lt;&gt;"",F332,B332+IFERROR(INDEX(Suppliers!$Q$7:$Q$106,MATCH(D332,Suppliers!$B$7:$B$106,0)),Setup!$C$7)))</f>
        <v/>
      </c>
      <c r="I332" s="46" t="str">
        <f aca="false">IF(OR(D332="",C332=""),IF(D332="","",0),SUMIFS(Payments!$D$8:$D$507,Payments!$C$8:$C$507,D332,Payments!$F$8:$F$507,C332))</f>
        <v/>
      </c>
      <c r="J332" s="46" t="str">
        <f aca="false">IF(D332="","",MIN(P332,MAX(0,R332-Q332)))</f>
        <v/>
      </c>
      <c r="K332" s="47" t="str">
        <f aca="false">IF(D332="","",P332-J332)</f>
        <v/>
      </c>
      <c r="L332" s="55" t="str">
        <f aca="false">IF(OR(D332="",N(K332)&lt;=0,H332=""),"",MAX(0,Setup!$C$11-H332))</f>
        <v/>
      </c>
      <c r="M332" s="54" t="str">
        <f aca="false">IF(OR(D332="",B332=""),"",IF(IFERROR(INDEX(Suppliers!$S$7:$S$106,MATCH(D332,Suppliers!$B$7:$B$106,0)),"")="","–",B332+IFERROR(INDEX(Suppliers!$S$7:$S$106,MATCH(D332,Suppliers!$B$7:$B$106,0)),"")))</f>
        <v/>
      </c>
      <c r="N332" s="56" t="str">
        <f aca="false">IF(D332="","",IF(N(K332)&lt;=0,"Paid",IF(AND(ISNUMBER(M332),Setup!$C$11&gt;M332),"⚠ MSME late",IF(N(L332)&gt;0,"Overdue",IF(N(V332)&lt;=Setup!$C$9,"⚠ MSME due soon",IF(K332&lt;E332,"Part paid","Not due"))))))</f>
        <v/>
      </c>
      <c r="O332" s="50" t="str">
        <f aca="false">IF(AND(D332="",B332="",C332="",E332=""),"",IF(D332="","⚠ Pick supplier",IF(ISNA(MATCH(D332,Suppliers!$B$7:$B$106,0)),"⚠ Supplier not in list",IF(B332="","⚠ Enter bill date",IF(N(E332)&lt;=0,"⚠ Enter amount",IF(AND(C332&lt;&gt;"",COUNTIFS($D$8:$D$507,D332,$C$8:$C$507,C332)&gt;1),"⚠ Bill no. used twice",IF(N(I332)&gt;N(E332),"⚠ Paid more than bill","✔")))))))</f>
        <v/>
      </c>
      <c r="P332" s="9" t="n">
        <f aca="false">IF(D332="",0,MAX(0,N(E332)-N(I332)))</f>
        <v>0</v>
      </c>
      <c r="Q332" s="9" t="n">
        <f aca="false">IF(D332="",0,SUMIFS($P$8:$P$507,$D$8:$D$507,D332,$B$8:$B$507,"&lt;"&amp;B332)+SUMIFS($P$8:P331,$D$8:D331,D332,$B$8:B331,B332))</f>
        <v>0</v>
      </c>
      <c r="R332" s="9" t="n">
        <f aca="false">IF(D332="",0,IFERROR(INDEX(Suppliers!$R$7:$R$106,MATCH(D332,Suppliers!$B$7:$B$106,0)),0))</f>
        <v>0</v>
      </c>
      <c r="S332" s="9" t="str">
        <f aca="false">IF(N(K332)&gt;0,IF(H332="",99999,MIN(H332,IF(ISNUMBER(M332),M332,H332)))+ROW()/100000,"")</f>
        <v/>
      </c>
      <c r="U332" s="9" t="n">
        <f aca="false">IF(N(K332)&gt;0,N(L332),0)</f>
        <v>0</v>
      </c>
      <c r="V332" s="9" t="n">
        <f aca="false">IF(AND(N(K332)&gt;0,ISNUMBER(M332)),M332-Setup!$C$11,99999)</f>
        <v>99999</v>
      </c>
    </row>
    <row r="333" customFormat="false" ht="15" hidden="false" customHeight="false" outlineLevel="0" collapsed="false">
      <c r="A333" s="40" t="str">
        <f aca="false">IF(D333="","",ROW()-7)</f>
        <v/>
      </c>
      <c r="B333" s="79"/>
      <c r="C333" s="75"/>
      <c r="D333" s="76"/>
      <c r="E333" s="80"/>
      <c r="F333" s="79"/>
      <c r="G333" s="76"/>
      <c r="H333" s="54" t="str">
        <f aca="false">IF(OR(D333="",B333=""),"",IF(F333&lt;&gt;"",F333,B333+IFERROR(INDEX(Suppliers!$Q$7:$Q$106,MATCH(D333,Suppliers!$B$7:$B$106,0)),Setup!$C$7)))</f>
        <v/>
      </c>
      <c r="I333" s="46" t="str">
        <f aca="false">IF(OR(D333="",C333=""),IF(D333="","",0),SUMIFS(Payments!$D$8:$D$507,Payments!$C$8:$C$507,D333,Payments!$F$8:$F$507,C333))</f>
        <v/>
      </c>
      <c r="J333" s="46" t="str">
        <f aca="false">IF(D333="","",MIN(P333,MAX(0,R333-Q333)))</f>
        <v/>
      </c>
      <c r="K333" s="47" t="str">
        <f aca="false">IF(D333="","",P333-J333)</f>
        <v/>
      </c>
      <c r="L333" s="55" t="str">
        <f aca="false">IF(OR(D333="",N(K333)&lt;=0,H333=""),"",MAX(0,Setup!$C$11-H333))</f>
        <v/>
      </c>
      <c r="M333" s="54" t="str">
        <f aca="false">IF(OR(D333="",B333=""),"",IF(IFERROR(INDEX(Suppliers!$S$7:$S$106,MATCH(D333,Suppliers!$B$7:$B$106,0)),"")="","–",B333+IFERROR(INDEX(Suppliers!$S$7:$S$106,MATCH(D333,Suppliers!$B$7:$B$106,0)),"")))</f>
        <v/>
      </c>
      <c r="N333" s="56" t="str">
        <f aca="false">IF(D333="","",IF(N(K333)&lt;=0,"Paid",IF(AND(ISNUMBER(M333),Setup!$C$11&gt;M333),"⚠ MSME late",IF(N(L333)&gt;0,"Overdue",IF(N(V333)&lt;=Setup!$C$9,"⚠ MSME due soon",IF(K333&lt;E333,"Part paid","Not due"))))))</f>
        <v/>
      </c>
      <c r="O333" s="50" t="str">
        <f aca="false">IF(AND(D333="",B333="",C333="",E333=""),"",IF(D333="","⚠ Pick supplier",IF(ISNA(MATCH(D333,Suppliers!$B$7:$B$106,0)),"⚠ Supplier not in list",IF(B333="","⚠ Enter bill date",IF(N(E333)&lt;=0,"⚠ Enter amount",IF(AND(C333&lt;&gt;"",COUNTIFS($D$8:$D$507,D333,$C$8:$C$507,C333)&gt;1),"⚠ Bill no. used twice",IF(N(I333)&gt;N(E333),"⚠ Paid more than bill","✔")))))))</f>
        <v/>
      </c>
      <c r="P333" s="9" t="n">
        <f aca="false">IF(D333="",0,MAX(0,N(E333)-N(I333)))</f>
        <v>0</v>
      </c>
      <c r="Q333" s="9" t="n">
        <f aca="false">IF(D333="",0,SUMIFS($P$8:$P$507,$D$8:$D$507,D333,$B$8:$B$507,"&lt;"&amp;B333)+SUMIFS($P$8:P332,$D$8:D332,D333,$B$8:B332,B333))</f>
        <v>0</v>
      </c>
      <c r="R333" s="9" t="n">
        <f aca="false">IF(D333="",0,IFERROR(INDEX(Suppliers!$R$7:$R$106,MATCH(D333,Suppliers!$B$7:$B$106,0)),0))</f>
        <v>0</v>
      </c>
      <c r="S333" s="9" t="str">
        <f aca="false">IF(N(K333)&gt;0,IF(H333="",99999,MIN(H333,IF(ISNUMBER(M333),M333,H333)))+ROW()/100000,"")</f>
        <v/>
      </c>
      <c r="U333" s="9" t="n">
        <f aca="false">IF(N(K333)&gt;0,N(L333),0)</f>
        <v>0</v>
      </c>
      <c r="V333" s="9" t="n">
        <f aca="false">IF(AND(N(K333)&gt;0,ISNUMBER(M333)),M333-Setup!$C$11,99999)</f>
        <v>99999</v>
      </c>
    </row>
    <row r="334" customFormat="false" ht="15" hidden="false" customHeight="false" outlineLevel="0" collapsed="false">
      <c r="A334" s="40" t="str">
        <f aca="false">IF(D334="","",ROW()-7)</f>
        <v/>
      </c>
      <c r="B334" s="79"/>
      <c r="C334" s="75"/>
      <c r="D334" s="76"/>
      <c r="E334" s="80"/>
      <c r="F334" s="79"/>
      <c r="G334" s="76"/>
      <c r="H334" s="54" t="str">
        <f aca="false">IF(OR(D334="",B334=""),"",IF(F334&lt;&gt;"",F334,B334+IFERROR(INDEX(Suppliers!$Q$7:$Q$106,MATCH(D334,Suppliers!$B$7:$B$106,0)),Setup!$C$7)))</f>
        <v/>
      </c>
      <c r="I334" s="46" t="str">
        <f aca="false">IF(OR(D334="",C334=""),IF(D334="","",0),SUMIFS(Payments!$D$8:$D$507,Payments!$C$8:$C$507,D334,Payments!$F$8:$F$507,C334))</f>
        <v/>
      </c>
      <c r="J334" s="46" t="str">
        <f aca="false">IF(D334="","",MIN(P334,MAX(0,R334-Q334)))</f>
        <v/>
      </c>
      <c r="K334" s="47" t="str">
        <f aca="false">IF(D334="","",P334-J334)</f>
        <v/>
      </c>
      <c r="L334" s="55" t="str">
        <f aca="false">IF(OR(D334="",N(K334)&lt;=0,H334=""),"",MAX(0,Setup!$C$11-H334))</f>
        <v/>
      </c>
      <c r="M334" s="54" t="str">
        <f aca="false">IF(OR(D334="",B334=""),"",IF(IFERROR(INDEX(Suppliers!$S$7:$S$106,MATCH(D334,Suppliers!$B$7:$B$106,0)),"")="","–",B334+IFERROR(INDEX(Suppliers!$S$7:$S$106,MATCH(D334,Suppliers!$B$7:$B$106,0)),"")))</f>
        <v/>
      </c>
      <c r="N334" s="56" t="str">
        <f aca="false">IF(D334="","",IF(N(K334)&lt;=0,"Paid",IF(AND(ISNUMBER(M334),Setup!$C$11&gt;M334),"⚠ MSME late",IF(N(L334)&gt;0,"Overdue",IF(N(V334)&lt;=Setup!$C$9,"⚠ MSME due soon",IF(K334&lt;E334,"Part paid","Not due"))))))</f>
        <v/>
      </c>
      <c r="O334" s="50" t="str">
        <f aca="false">IF(AND(D334="",B334="",C334="",E334=""),"",IF(D334="","⚠ Pick supplier",IF(ISNA(MATCH(D334,Suppliers!$B$7:$B$106,0)),"⚠ Supplier not in list",IF(B334="","⚠ Enter bill date",IF(N(E334)&lt;=0,"⚠ Enter amount",IF(AND(C334&lt;&gt;"",COUNTIFS($D$8:$D$507,D334,$C$8:$C$507,C334)&gt;1),"⚠ Bill no. used twice",IF(N(I334)&gt;N(E334),"⚠ Paid more than bill","✔")))))))</f>
        <v/>
      </c>
      <c r="P334" s="9" t="n">
        <f aca="false">IF(D334="",0,MAX(0,N(E334)-N(I334)))</f>
        <v>0</v>
      </c>
      <c r="Q334" s="9" t="n">
        <f aca="false">IF(D334="",0,SUMIFS($P$8:$P$507,$D$8:$D$507,D334,$B$8:$B$507,"&lt;"&amp;B334)+SUMIFS($P$8:P333,$D$8:D333,D334,$B$8:B333,B334))</f>
        <v>0</v>
      </c>
      <c r="R334" s="9" t="n">
        <f aca="false">IF(D334="",0,IFERROR(INDEX(Suppliers!$R$7:$R$106,MATCH(D334,Suppliers!$B$7:$B$106,0)),0))</f>
        <v>0</v>
      </c>
      <c r="S334" s="9" t="str">
        <f aca="false">IF(N(K334)&gt;0,IF(H334="",99999,MIN(H334,IF(ISNUMBER(M334),M334,H334)))+ROW()/100000,"")</f>
        <v/>
      </c>
      <c r="U334" s="9" t="n">
        <f aca="false">IF(N(K334)&gt;0,N(L334),0)</f>
        <v>0</v>
      </c>
      <c r="V334" s="9" t="n">
        <f aca="false">IF(AND(N(K334)&gt;0,ISNUMBER(M334)),M334-Setup!$C$11,99999)</f>
        <v>99999</v>
      </c>
    </row>
    <row r="335" customFormat="false" ht="15" hidden="false" customHeight="false" outlineLevel="0" collapsed="false">
      <c r="A335" s="40" t="str">
        <f aca="false">IF(D335="","",ROW()-7)</f>
        <v/>
      </c>
      <c r="B335" s="79"/>
      <c r="C335" s="75"/>
      <c r="D335" s="76"/>
      <c r="E335" s="80"/>
      <c r="F335" s="79"/>
      <c r="G335" s="76"/>
      <c r="H335" s="54" t="str">
        <f aca="false">IF(OR(D335="",B335=""),"",IF(F335&lt;&gt;"",F335,B335+IFERROR(INDEX(Suppliers!$Q$7:$Q$106,MATCH(D335,Suppliers!$B$7:$B$106,0)),Setup!$C$7)))</f>
        <v/>
      </c>
      <c r="I335" s="46" t="str">
        <f aca="false">IF(OR(D335="",C335=""),IF(D335="","",0),SUMIFS(Payments!$D$8:$D$507,Payments!$C$8:$C$507,D335,Payments!$F$8:$F$507,C335))</f>
        <v/>
      </c>
      <c r="J335" s="46" t="str">
        <f aca="false">IF(D335="","",MIN(P335,MAX(0,R335-Q335)))</f>
        <v/>
      </c>
      <c r="K335" s="47" t="str">
        <f aca="false">IF(D335="","",P335-J335)</f>
        <v/>
      </c>
      <c r="L335" s="55" t="str">
        <f aca="false">IF(OR(D335="",N(K335)&lt;=0,H335=""),"",MAX(0,Setup!$C$11-H335))</f>
        <v/>
      </c>
      <c r="M335" s="54" t="str">
        <f aca="false">IF(OR(D335="",B335=""),"",IF(IFERROR(INDEX(Suppliers!$S$7:$S$106,MATCH(D335,Suppliers!$B$7:$B$106,0)),"")="","–",B335+IFERROR(INDEX(Suppliers!$S$7:$S$106,MATCH(D335,Suppliers!$B$7:$B$106,0)),"")))</f>
        <v/>
      </c>
      <c r="N335" s="56" t="str">
        <f aca="false">IF(D335="","",IF(N(K335)&lt;=0,"Paid",IF(AND(ISNUMBER(M335),Setup!$C$11&gt;M335),"⚠ MSME late",IF(N(L335)&gt;0,"Overdue",IF(N(V335)&lt;=Setup!$C$9,"⚠ MSME due soon",IF(K335&lt;E335,"Part paid","Not due"))))))</f>
        <v/>
      </c>
      <c r="O335" s="50" t="str">
        <f aca="false">IF(AND(D335="",B335="",C335="",E335=""),"",IF(D335="","⚠ Pick supplier",IF(ISNA(MATCH(D335,Suppliers!$B$7:$B$106,0)),"⚠ Supplier not in list",IF(B335="","⚠ Enter bill date",IF(N(E335)&lt;=0,"⚠ Enter amount",IF(AND(C335&lt;&gt;"",COUNTIFS($D$8:$D$507,D335,$C$8:$C$507,C335)&gt;1),"⚠ Bill no. used twice",IF(N(I335)&gt;N(E335),"⚠ Paid more than bill","✔")))))))</f>
        <v/>
      </c>
      <c r="P335" s="9" t="n">
        <f aca="false">IF(D335="",0,MAX(0,N(E335)-N(I335)))</f>
        <v>0</v>
      </c>
      <c r="Q335" s="9" t="n">
        <f aca="false">IF(D335="",0,SUMIFS($P$8:$P$507,$D$8:$D$507,D335,$B$8:$B$507,"&lt;"&amp;B335)+SUMIFS($P$8:P334,$D$8:D334,D335,$B$8:B334,B335))</f>
        <v>0</v>
      </c>
      <c r="R335" s="9" t="n">
        <f aca="false">IF(D335="",0,IFERROR(INDEX(Suppliers!$R$7:$R$106,MATCH(D335,Suppliers!$B$7:$B$106,0)),0))</f>
        <v>0</v>
      </c>
      <c r="S335" s="9" t="str">
        <f aca="false">IF(N(K335)&gt;0,IF(H335="",99999,MIN(H335,IF(ISNUMBER(M335),M335,H335)))+ROW()/100000,"")</f>
        <v/>
      </c>
      <c r="U335" s="9" t="n">
        <f aca="false">IF(N(K335)&gt;0,N(L335),0)</f>
        <v>0</v>
      </c>
      <c r="V335" s="9" t="n">
        <f aca="false">IF(AND(N(K335)&gt;0,ISNUMBER(M335)),M335-Setup!$C$11,99999)</f>
        <v>99999</v>
      </c>
    </row>
    <row r="336" customFormat="false" ht="15" hidden="false" customHeight="false" outlineLevel="0" collapsed="false">
      <c r="A336" s="40" t="str">
        <f aca="false">IF(D336="","",ROW()-7)</f>
        <v/>
      </c>
      <c r="B336" s="79"/>
      <c r="C336" s="75"/>
      <c r="D336" s="76"/>
      <c r="E336" s="80"/>
      <c r="F336" s="79"/>
      <c r="G336" s="76"/>
      <c r="H336" s="54" t="str">
        <f aca="false">IF(OR(D336="",B336=""),"",IF(F336&lt;&gt;"",F336,B336+IFERROR(INDEX(Suppliers!$Q$7:$Q$106,MATCH(D336,Suppliers!$B$7:$B$106,0)),Setup!$C$7)))</f>
        <v/>
      </c>
      <c r="I336" s="46" t="str">
        <f aca="false">IF(OR(D336="",C336=""),IF(D336="","",0),SUMIFS(Payments!$D$8:$D$507,Payments!$C$8:$C$507,D336,Payments!$F$8:$F$507,C336))</f>
        <v/>
      </c>
      <c r="J336" s="46" t="str">
        <f aca="false">IF(D336="","",MIN(P336,MAX(0,R336-Q336)))</f>
        <v/>
      </c>
      <c r="K336" s="47" t="str">
        <f aca="false">IF(D336="","",P336-J336)</f>
        <v/>
      </c>
      <c r="L336" s="55" t="str">
        <f aca="false">IF(OR(D336="",N(K336)&lt;=0,H336=""),"",MAX(0,Setup!$C$11-H336))</f>
        <v/>
      </c>
      <c r="M336" s="54" t="str">
        <f aca="false">IF(OR(D336="",B336=""),"",IF(IFERROR(INDEX(Suppliers!$S$7:$S$106,MATCH(D336,Suppliers!$B$7:$B$106,0)),"")="","–",B336+IFERROR(INDEX(Suppliers!$S$7:$S$106,MATCH(D336,Suppliers!$B$7:$B$106,0)),"")))</f>
        <v/>
      </c>
      <c r="N336" s="56" t="str">
        <f aca="false">IF(D336="","",IF(N(K336)&lt;=0,"Paid",IF(AND(ISNUMBER(M336),Setup!$C$11&gt;M336),"⚠ MSME late",IF(N(L336)&gt;0,"Overdue",IF(N(V336)&lt;=Setup!$C$9,"⚠ MSME due soon",IF(K336&lt;E336,"Part paid","Not due"))))))</f>
        <v/>
      </c>
      <c r="O336" s="50" t="str">
        <f aca="false">IF(AND(D336="",B336="",C336="",E336=""),"",IF(D336="","⚠ Pick supplier",IF(ISNA(MATCH(D336,Suppliers!$B$7:$B$106,0)),"⚠ Supplier not in list",IF(B336="","⚠ Enter bill date",IF(N(E336)&lt;=0,"⚠ Enter amount",IF(AND(C336&lt;&gt;"",COUNTIFS($D$8:$D$507,D336,$C$8:$C$507,C336)&gt;1),"⚠ Bill no. used twice",IF(N(I336)&gt;N(E336),"⚠ Paid more than bill","✔")))))))</f>
        <v/>
      </c>
      <c r="P336" s="9" t="n">
        <f aca="false">IF(D336="",0,MAX(0,N(E336)-N(I336)))</f>
        <v>0</v>
      </c>
      <c r="Q336" s="9" t="n">
        <f aca="false">IF(D336="",0,SUMIFS($P$8:$P$507,$D$8:$D$507,D336,$B$8:$B$507,"&lt;"&amp;B336)+SUMIFS($P$8:P335,$D$8:D335,D336,$B$8:B335,B336))</f>
        <v>0</v>
      </c>
      <c r="R336" s="9" t="n">
        <f aca="false">IF(D336="",0,IFERROR(INDEX(Suppliers!$R$7:$R$106,MATCH(D336,Suppliers!$B$7:$B$106,0)),0))</f>
        <v>0</v>
      </c>
      <c r="S336" s="9" t="str">
        <f aca="false">IF(N(K336)&gt;0,IF(H336="",99999,MIN(H336,IF(ISNUMBER(M336),M336,H336)))+ROW()/100000,"")</f>
        <v/>
      </c>
      <c r="U336" s="9" t="n">
        <f aca="false">IF(N(K336)&gt;0,N(L336),0)</f>
        <v>0</v>
      </c>
      <c r="V336" s="9" t="n">
        <f aca="false">IF(AND(N(K336)&gt;0,ISNUMBER(M336)),M336-Setup!$C$11,99999)</f>
        <v>99999</v>
      </c>
    </row>
    <row r="337" customFormat="false" ht="15" hidden="false" customHeight="false" outlineLevel="0" collapsed="false">
      <c r="A337" s="40" t="str">
        <f aca="false">IF(D337="","",ROW()-7)</f>
        <v/>
      </c>
      <c r="B337" s="79"/>
      <c r="C337" s="75"/>
      <c r="D337" s="76"/>
      <c r="E337" s="80"/>
      <c r="F337" s="79"/>
      <c r="G337" s="76"/>
      <c r="H337" s="54" t="str">
        <f aca="false">IF(OR(D337="",B337=""),"",IF(F337&lt;&gt;"",F337,B337+IFERROR(INDEX(Suppliers!$Q$7:$Q$106,MATCH(D337,Suppliers!$B$7:$B$106,0)),Setup!$C$7)))</f>
        <v/>
      </c>
      <c r="I337" s="46" t="str">
        <f aca="false">IF(OR(D337="",C337=""),IF(D337="","",0),SUMIFS(Payments!$D$8:$D$507,Payments!$C$8:$C$507,D337,Payments!$F$8:$F$507,C337))</f>
        <v/>
      </c>
      <c r="J337" s="46" t="str">
        <f aca="false">IF(D337="","",MIN(P337,MAX(0,R337-Q337)))</f>
        <v/>
      </c>
      <c r="K337" s="47" t="str">
        <f aca="false">IF(D337="","",P337-J337)</f>
        <v/>
      </c>
      <c r="L337" s="55" t="str">
        <f aca="false">IF(OR(D337="",N(K337)&lt;=0,H337=""),"",MAX(0,Setup!$C$11-H337))</f>
        <v/>
      </c>
      <c r="M337" s="54" t="str">
        <f aca="false">IF(OR(D337="",B337=""),"",IF(IFERROR(INDEX(Suppliers!$S$7:$S$106,MATCH(D337,Suppliers!$B$7:$B$106,0)),"")="","–",B337+IFERROR(INDEX(Suppliers!$S$7:$S$106,MATCH(D337,Suppliers!$B$7:$B$106,0)),"")))</f>
        <v/>
      </c>
      <c r="N337" s="56" t="str">
        <f aca="false">IF(D337="","",IF(N(K337)&lt;=0,"Paid",IF(AND(ISNUMBER(M337),Setup!$C$11&gt;M337),"⚠ MSME late",IF(N(L337)&gt;0,"Overdue",IF(N(V337)&lt;=Setup!$C$9,"⚠ MSME due soon",IF(K337&lt;E337,"Part paid","Not due"))))))</f>
        <v/>
      </c>
      <c r="O337" s="50" t="str">
        <f aca="false">IF(AND(D337="",B337="",C337="",E337=""),"",IF(D337="","⚠ Pick supplier",IF(ISNA(MATCH(D337,Suppliers!$B$7:$B$106,0)),"⚠ Supplier not in list",IF(B337="","⚠ Enter bill date",IF(N(E337)&lt;=0,"⚠ Enter amount",IF(AND(C337&lt;&gt;"",COUNTIFS($D$8:$D$507,D337,$C$8:$C$507,C337)&gt;1),"⚠ Bill no. used twice",IF(N(I337)&gt;N(E337),"⚠ Paid more than bill","✔")))))))</f>
        <v/>
      </c>
      <c r="P337" s="9" t="n">
        <f aca="false">IF(D337="",0,MAX(0,N(E337)-N(I337)))</f>
        <v>0</v>
      </c>
      <c r="Q337" s="9" t="n">
        <f aca="false">IF(D337="",0,SUMIFS($P$8:$P$507,$D$8:$D$507,D337,$B$8:$B$507,"&lt;"&amp;B337)+SUMIFS($P$8:P336,$D$8:D336,D337,$B$8:B336,B337))</f>
        <v>0</v>
      </c>
      <c r="R337" s="9" t="n">
        <f aca="false">IF(D337="",0,IFERROR(INDEX(Suppliers!$R$7:$R$106,MATCH(D337,Suppliers!$B$7:$B$106,0)),0))</f>
        <v>0</v>
      </c>
      <c r="S337" s="9" t="str">
        <f aca="false">IF(N(K337)&gt;0,IF(H337="",99999,MIN(H337,IF(ISNUMBER(M337),M337,H337)))+ROW()/100000,"")</f>
        <v/>
      </c>
      <c r="U337" s="9" t="n">
        <f aca="false">IF(N(K337)&gt;0,N(L337),0)</f>
        <v>0</v>
      </c>
      <c r="V337" s="9" t="n">
        <f aca="false">IF(AND(N(K337)&gt;0,ISNUMBER(M337)),M337-Setup!$C$11,99999)</f>
        <v>99999</v>
      </c>
    </row>
    <row r="338" customFormat="false" ht="15" hidden="false" customHeight="false" outlineLevel="0" collapsed="false">
      <c r="A338" s="40" t="str">
        <f aca="false">IF(D338="","",ROW()-7)</f>
        <v/>
      </c>
      <c r="B338" s="79"/>
      <c r="C338" s="75"/>
      <c r="D338" s="76"/>
      <c r="E338" s="80"/>
      <c r="F338" s="79"/>
      <c r="G338" s="76"/>
      <c r="H338" s="54" t="str">
        <f aca="false">IF(OR(D338="",B338=""),"",IF(F338&lt;&gt;"",F338,B338+IFERROR(INDEX(Suppliers!$Q$7:$Q$106,MATCH(D338,Suppliers!$B$7:$B$106,0)),Setup!$C$7)))</f>
        <v/>
      </c>
      <c r="I338" s="46" t="str">
        <f aca="false">IF(OR(D338="",C338=""),IF(D338="","",0),SUMIFS(Payments!$D$8:$D$507,Payments!$C$8:$C$507,D338,Payments!$F$8:$F$507,C338))</f>
        <v/>
      </c>
      <c r="J338" s="46" t="str">
        <f aca="false">IF(D338="","",MIN(P338,MAX(0,R338-Q338)))</f>
        <v/>
      </c>
      <c r="K338" s="47" t="str">
        <f aca="false">IF(D338="","",P338-J338)</f>
        <v/>
      </c>
      <c r="L338" s="55" t="str">
        <f aca="false">IF(OR(D338="",N(K338)&lt;=0,H338=""),"",MAX(0,Setup!$C$11-H338))</f>
        <v/>
      </c>
      <c r="M338" s="54" t="str">
        <f aca="false">IF(OR(D338="",B338=""),"",IF(IFERROR(INDEX(Suppliers!$S$7:$S$106,MATCH(D338,Suppliers!$B$7:$B$106,0)),"")="","–",B338+IFERROR(INDEX(Suppliers!$S$7:$S$106,MATCH(D338,Suppliers!$B$7:$B$106,0)),"")))</f>
        <v/>
      </c>
      <c r="N338" s="56" t="str">
        <f aca="false">IF(D338="","",IF(N(K338)&lt;=0,"Paid",IF(AND(ISNUMBER(M338),Setup!$C$11&gt;M338),"⚠ MSME late",IF(N(L338)&gt;0,"Overdue",IF(N(V338)&lt;=Setup!$C$9,"⚠ MSME due soon",IF(K338&lt;E338,"Part paid","Not due"))))))</f>
        <v/>
      </c>
      <c r="O338" s="50" t="str">
        <f aca="false">IF(AND(D338="",B338="",C338="",E338=""),"",IF(D338="","⚠ Pick supplier",IF(ISNA(MATCH(D338,Suppliers!$B$7:$B$106,0)),"⚠ Supplier not in list",IF(B338="","⚠ Enter bill date",IF(N(E338)&lt;=0,"⚠ Enter amount",IF(AND(C338&lt;&gt;"",COUNTIFS($D$8:$D$507,D338,$C$8:$C$507,C338)&gt;1),"⚠ Bill no. used twice",IF(N(I338)&gt;N(E338),"⚠ Paid more than bill","✔")))))))</f>
        <v/>
      </c>
      <c r="P338" s="9" t="n">
        <f aca="false">IF(D338="",0,MAX(0,N(E338)-N(I338)))</f>
        <v>0</v>
      </c>
      <c r="Q338" s="9" t="n">
        <f aca="false">IF(D338="",0,SUMIFS($P$8:$P$507,$D$8:$D$507,D338,$B$8:$B$507,"&lt;"&amp;B338)+SUMIFS($P$8:P337,$D$8:D337,D338,$B$8:B337,B338))</f>
        <v>0</v>
      </c>
      <c r="R338" s="9" t="n">
        <f aca="false">IF(D338="",0,IFERROR(INDEX(Suppliers!$R$7:$R$106,MATCH(D338,Suppliers!$B$7:$B$106,0)),0))</f>
        <v>0</v>
      </c>
      <c r="S338" s="9" t="str">
        <f aca="false">IF(N(K338)&gt;0,IF(H338="",99999,MIN(H338,IF(ISNUMBER(M338),M338,H338)))+ROW()/100000,"")</f>
        <v/>
      </c>
      <c r="U338" s="9" t="n">
        <f aca="false">IF(N(K338)&gt;0,N(L338),0)</f>
        <v>0</v>
      </c>
      <c r="V338" s="9" t="n">
        <f aca="false">IF(AND(N(K338)&gt;0,ISNUMBER(M338)),M338-Setup!$C$11,99999)</f>
        <v>99999</v>
      </c>
    </row>
    <row r="339" customFormat="false" ht="15" hidden="false" customHeight="false" outlineLevel="0" collapsed="false">
      <c r="A339" s="40" t="str">
        <f aca="false">IF(D339="","",ROW()-7)</f>
        <v/>
      </c>
      <c r="B339" s="79"/>
      <c r="C339" s="75"/>
      <c r="D339" s="76"/>
      <c r="E339" s="80"/>
      <c r="F339" s="79"/>
      <c r="G339" s="76"/>
      <c r="H339" s="54" t="str">
        <f aca="false">IF(OR(D339="",B339=""),"",IF(F339&lt;&gt;"",F339,B339+IFERROR(INDEX(Suppliers!$Q$7:$Q$106,MATCH(D339,Suppliers!$B$7:$B$106,0)),Setup!$C$7)))</f>
        <v/>
      </c>
      <c r="I339" s="46" t="str">
        <f aca="false">IF(OR(D339="",C339=""),IF(D339="","",0),SUMIFS(Payments!$D$8:$D$507,Payments!$C$8:$C$507,D339,Payments!$F$8:$F$507,C339))</f>
        <v/>
      </c>
      <c r="J339" s="46" t="str">
        <f aca="false">IF(D339="","",MIN(P339,MAX(0,R339-Q339)))</f>
        <v/>
      </c>
      <c r="K339" s="47" t="str">
        <f aca="false">IF(D339="","",P339-J339)</f>
        <v/>
      </c>
      <c r="L339" s="55" t="str">
        <f aca="false">IF(OR(D339="",N(K339)&lt;=0,H339=""),"",MAX(0,Setup!$C$11-H339))</f>
        <v/>
      </c>
      <c r="M339" s="54" t="str">
        <f aca="false">IF(OR(D339="",B339=""),"",IF(IFERROR(INDEX(Suppliers!$S$7:$S$106,MATCH(D339,Suppliers!$B$7:$B$106,0)),"")="","–",B339+IFERROR(INDEX(Suppliers!$S$7:$S$106,MATCH(D339,Suppliers!$B$7:$B$106,0)),"")))</f>
        <v/>
      </c>
      <c r="N339" s="56" t="str">
        <f aca="false">IF(D339="","",IF(N(K339)&lt;=0,"Paid",IF(AND(ISNUMBER(M339),Setup!$C$11&gt;M339),"⚠ MSME late",IF(N(L339)&gt;0,"Overdue",IF(N(V339)&lt;=Setup!$C$9,"⚠ MSME due soon",IF(K339&lt;E339,"Part paid","Not due"))))))</f>
        <v/>
      </c>
      <c r="O339" s="50" t="str">
        <f aca="false">IF(AND(D339="",B339="",C339="",E339=""),"",IF(D339="","⚠ Pick supplier",IF(ISNA(MATCH(D339,Suppliers!$B$7:$B$106,0)),"⚠ Supplier not in list",IF(B339="","⚠ Enter bill date",IF(N(E339)&lt;=0,"⚠ Enter amount",IF(AND(C339&lt;&gt;"",COUNTIFS($D$8:$D$507,D339,$C$8:$C$507,C339)&gt;1),"⚠ Bill no. used twice",IF(N(I339)&gt;N(E339),"⚠ Paid more than bill","✔")))))))</f>
        <v/>
      </c>
      <c r="P339" s="9" t="n">
        <f aca="false">IF(D339="",0,MAX(0,N(E339)-N(I339)))</f>
        <v>0</v>
      </c>
      <c r="Q339" s="9" t="n">
        <f aca="false">IF(D339="",0,SUMIFS($P$8:$P$507,$D$8:$D$507,D339,$B$8:$B$507,"&lt;"&amp;B339)+SUMIFS($P$8:P338,$D$8:D338,D339,$B$8:B338,B339))</f>
        <v>0</v>
      </c>
      <c r="R339" s="9" t="n">
        <f aca="false">IF(D339="",0,IFERROR(INDEX(Suppliers!$R$7:$R$106,MATCH(D339,Suppliers!$B$7:$B$106,0)),0))</f>
        <v>0</v>
      </c>
      <c r="S339" s="9" t="str">
        <f aca="false">IF(N(K339)&gt;0,IF(H339="",99999,MIN(H339,IF(ISNUMBER(M339),M339,H339)))+ROW()/100000,"")</f>
        <v/>
      </c>
      <c r="U339" s="9" t="n">
        <f aca="false">IF(N(K339)&gt;0,N(L339),0)</f>
        <v>0</v>
      </c>
      <c r="V339" s="9" t="n">
        <f aca="false">IF(AND(N(K339)&gt;0,ISNUMBER(M339)),M339-Setup!$C$11,99999)</f>
        <v>99999</v>
      </c>
    </row>
    <row r="340" customFormat="false" ht="15" hidden="false" customHeight="false" outlineLevel="0" collapsed="false">
      <c r="A340" s="40" t="str">
        <f aca="false">IF(D340="","",ROW()-7)</f>
        <v/>
      </c>
      <c r="B340" s="79"/>
      <c r="C340" s="75"/>
      <c r="D340" s="76"/>
      <c r="E340" s="80"/>
      <c r="F340" s="79"/>
      <c r="G340" s="76"/>
      <c r="H340" s="54" t="str">
        <f aca="false">IF(OR(D340="",B340=""),"",IF(F340&lt;&gt;"",F340,B340+IFERROR(INDEX(Suppliers!$Q$7:$Q$106,MATCH(D340,Suppliers!$B$7:$B$106,0)),Setup!$C$7)))</f>
        <v/>
      </c>
      <c r="I340" s="46" t="str">
        <f aca="false">IF(OR(D340="",C340=""),IF(D340="","",0),SUMIFS(Payments!$D$8:$D$507,Payments!$C$8:$C$507,D340,Payments!$F$8:$F$507,C340))</f>
        <v/>
      </c>
      <c r="J340" s="46" t="str">
        <f aca="false">IF(D340="","",MIN(P340,MAX(0,R340-Q340)))</f>
        <v/>
      </c>
      <c r="K340" s="47" t="str">
        <f aca="false">IF(D340="","",P340-J340)</f>
        <v/>
      </c>
      <c r="L340" s="55" t="str">
        <f aca="false">IF(OR(D340="",N(K340)&lt;=0,H340=""),"",MAX(0,Setup!$C$11-H340))</f>
        <v/>
      </c>
      <c r="M340" s="54" t="str">
        <f aca="false">IF(OR(D340="",B340=""),"",IF(IFERROR(INDEX(Suppliers!$S$7:$S$106,MATCH(D340,Suppliers!$B$7:$B$106,0)),"")="","–",B340+IFERROR(INDEX(Suppliers!$S$7:$S$106,MATCH(D340,Suppliers!$B$7:$B$106,0)),"")))</f>
        <v/>
      </c>
      <c r="N340" s="56" t="str">
        <f aca="false">IF(D340="","",IF(N(K340)&lt;=0,"Paid",IF(AND(ISNUMBER(M340),Setup!$C$11&gt;M340),"⚠ MSME late",IF(N(L340)&gt;0,"Overdue",IF(N(V340)&lt;=Setup!$C$9,"⚠ MSME due soon",IF(K340&lt;E340,"Part paid","Not due"))))))</f>
        <v/>
      </c>
      <c r="O340" s="50" t="str">
        <f aca="false">IF(AND(D340="",B340="",C340="",E340=""),"",IF(D340="","⚠ Pick supplier",IF(ISNA(MATCH(D340,Suppliers!$B$7:$B$106,0)),"⚠ Supplier not in list",IF(B340="","⚠ Enter bill date",IF(N(E340)&lt;=0,"⚠ Enter amount",IF(AND(C340&lt;&gt;"",COUNTIFS($D$8:$D$507,D340,$C$8:$C$507,C340)&gt;1),"⚠ Bill no. used twice",IF(N(I340)&gt;N(E340),"⚠ Paid more than bill","✔")))))))</f>
        <v/>
      </c>
      <c r="P340" s="9" t="n">
        <f aca="false">IF(D340="",0,MAX(0,N(E340)-N(I340)))</f>
        <v>0</v>
      </c>
      <c r="Q340" s="9" t="n">
        <f aca="false">IF(D340="",0,SUMIFS($P$8:$P$507,$D$8:$D$507,D340,$B$8:$B$507,"&lt;"&amp;B340)+SUMIFS($P$8:P339,$D$8:D339,D340,$B$8:B339,B340))</f>
        <v>0</v>
      </c>
      <c r="R340" s="9" t="n">
        <f aca="false">IF(D340="",0,IFERROR(INDEX(Suppliers!$R$7:$R$106,MATCH(D340,Suppliers!$B$7:$B$106,0)),0))</f>
        <v>0</v>
      </c>
      <c r="S340" s="9" t="str">
        <f aca="false">IF(N(K340)&gt;0,IF(H340="",99999,MIN(H340,IF(ISNUMBER(M340),M340,H340)))+ROW()/100000,"")</f>
        <v/>
      </c>
      <c r="U340" s="9" t="n">
        <f aca="false">IF(N(K340)&gt;0,N(L340),0)</f>
        <v>0</v>
      </c>
      <c r="V340" s="9" t="n">
        <f aca="false">IF(AND(N(K340)&gt;0,ISNUMBER(M340)),M340-Setup!$C$11,99999)</f>
        <v>99999</v>
      </c>
    </row>
    <row r="341" customFormat="false" ht="15" hidden="false" customHeight="false" outlineLevel="0" collapsed="false">
      <c r="A341" s="40" t="str">
        <f aca="false">IF(D341="","",ROW()-7)</f>
        <v/>
      </c>
      <c r="B341" s="79"/>
      <c r="C341" s="75"/>
      <c r="D341" s="76"/>
      <c r="E341" s="80"/>
      <c r="F341" s="79"/>
      <c r="G341" s="76"/>
      <c r="H341" s="54" t="str">
        <f aca="false">IF(OR(D341="",B341=""),"",IF(F341&lt;&gt;"",F341,B341+IFERROR(INDEX(Suppliers!$Q$7:$Q$106,MATCH(D341,Suppliers!$B$7:$B$106,0)),Setup!$C$7)))</f>
        <v/>
      </c>
      <c r="I341" s="46" t="str">
        <f aca="false">IF(OR(D341="",C341=""),IF(D341="","",0),SUMIFS(Payments!$D$8:$D$507,Payments!$C$8:$C$507,D341,Payments!$F$8:$F$507,C341))</f>
        <v/>
      </c>
      <c r="J341" s="46" t="str">
        <f aca="false">IF(D341="","",MIN(P341,MAX(0,R341-Q341)))</f>
        <v/>
      </c>
      <c r="K341" s="47" t="str">
        <f aca="false">IF(D341="","",P341-J341)</f>
        <v/>
      </c>
      <c r="L341" s="55" t="str">
        <f aca="false">IF(OR(D341="",N(K341)&lt;=0,H341=""),"",MAX(0,Setup!$C$11-H341))</f>
        <v/>
      </c>
      <c r="M341" s="54" t="str">
        <f aca="false">IF(OR(D341="",B341=""),"",IF(IFERROR(INDEX(Suppliers!$S$7:$S$106,MATCH(D341,Suppliers!$B$7:$B$106,0)),"")="","–",B341+IFERROR(INDEX(Suppliers!$S$7:$S$106,MATCH(D341,Suppliers!$B$7:$B$106,0)),"")))</f>
        <v/>
      </c>
      <c r="N341" s="56" t="str">
        <f aca="false">IF(D341="","",IF(N(K341)&lt;=0,"Paid",IF(AND(ISNUMBER(M341),Setup!$C$11&gt;M341),"⚠ MSME late",IF(N(L341)&gt;0,"Overdue",IF(N(V341)&lt;=Setup!$C$9,"⚠ MSME due soon",IF(K341&lt;E341,"Part paid","Not due"))))))</f>
        <v/>
      </c>
      <c r="O341" s="50" t="str">
        <f aca="false">IF(AND(D341="",B341="",C341="",E341=""),"",IF(D341="","⚠ Pick supplier",IF(ISNA(MATCH(D341,Suppliers!$B$7:$B$106,0)),"⚠ Supplier not in list",IF(B341="","⚠ Enter bill date",IF(N(E341)&lt;=0,"⚠ Enter amount",IF(AND(C341&lt;&gt;"",COUNTIFS($D$8:$D$507,D341,$C$8:$C$507,C341)&gt;1),"⚠ Bill no. used twice",IF(N(I341)&gt;N(E341),"⚠ Paid more than bill","✔")))))))</f>
        <v/>
      </c>
      <c r="P341" s="9" t="n">
        <f aca="false">IF(D341="",0,MAX(0,N(E341)-N(I341)))</f>
        <v>0</v>
      </c>
      <c r="Q341" s="9" t="n">
        <f aca="false">IF(D341="",0,SUMIFS($P$8:$P$507,$D$8:$D$507,D341,$B$8:$B$507,"&lt;"&amp;B341)+SUMIFS($P$8:P340,$D$8:D340,D341,$B$8:B340,B341))</f>
        <v>0</v>
      </c>
      <c r="R341" s="9" t="n">
        <f aca="false">IF(D341="",0,IFERROR(INDEX(Suppliers!$R$7:$R$106,MATCH(D341,Suppliers!$B$7:$B$106,0)),0))</f>
        <v>0</v>
      </c>
      <c r="S341" s="9" t="str">
        <f aca="false">IF(N(K341)&gt;0,IF(H341="",99999,MIN(H341,IF(ISNUMBER(M341),M341,H341)))+ROW()/100000,"")</f>
        <v/>
      </c>
      <c r="U341" s="9" t="n">
        <f aca="false">IF(N(K341)&gt;0,N(L341),0)</f>
        <v>0</v>
      </c>
      <c r="V341" s="9" t="n">
        <f aca="false">IF(AND(N(K341)&gt;0,ISNUMBER(M341)),M341-Setup!$C$11,99999)</f>
        <v>99999</v>
      </c>
    </row>
    <row r="342" customFormat="false" ht="15" hidden="false" customHeight="false" outlineLevel="0" collapsed="false">
      <c r="A342" s="40" t="str">
        <f aca="false">IF(D342="","",ROW()-7)</f>
        <v/>
      </c>
      <c r="B342" s="79"/>
      <c r="C342" s="75"/>
      <c r="D342" s="76"/>
      <c r="E342" s="80"/>
      <c r="F342" s="79"/>
      <c r="G342" s="76"/>
      <c r="H342" s="54" t="str">
        <f aca="false">IF(OR(D342="",B342=""),"",IF(F342&lt;&gt;"",F342,B342+IFERROR(INDEX(Suppliers!$Q$7:$Q$106,MATCH(D342,Suppliers!$B$7:$B$106,0)),Setup!$C$7)))</f>
        <v/>
      </c>
      <c r="I342" s="46" t="str">
        <f aca="false">IF(OR(D342="",C342=""),IF(D342="","",0),SUMIFS(Payments!$D$8:$D$507,Payments!$C$8:$C$507,D342,Payments!$F$8:$F$507,C342))</f>
        <v/>
      </c>
      <c r="J342" s="46" t="str">
        <f aca="false">IF(D342="","",MIN(P342,MAX(0,R342-Q342)))</f>
        <v/>
      </c>
      <c r="K342" s="47" t="str">
        <f aca="false">IF(D342="","",P342-J342)</f>
        <v/>
      </c>
      <c r="L342" s="55" t="str">
        <f aca="false">IF(OR(D342="",N(K342)&lt;=0,H342=""),"",MAX(0,Setup!$C$11-H342))</f>
        <v/>
      </c>
      <c r="M342" s="54" t="str">
        <f aca="false">IF(OR(D342="",B342=""),"",IF(IFERROR(INDEX(Suppliers!$S$7:$S$106,MATCH(D342,Suppliers!$B$7:$B$106,0)),"")="","–",B342+IFERROR(INDEX(Suppliers!$S$7:$S$106,MATCH(D342,Suppliers!$B$7:$B$106,0)),"")))</f>
        <v/>
      </c>
      <c r="N342" s="56" t="str">
        <f aca="false">IF(D342="","",IF(N(K342)&lt;=0,"Paid",IF(AND(ISNUMBER(M342),Setup!$C$11&gt;M342),"⚠ MSME late",IF(N(L342)&gt;0,"Overdue",IF(N(V342)&lt;=Setup!$C$9,"⚠ MSME due soon",IF(K342&lt;E342,"Part paid","Not due"))))))</f>
        <v/>
      </c>
      <c r="O342" s="50" t="str">
        <f aca="false">IF(AND(D342="",B342="",C342="",E342=""),"",IF(D342="","⚠ Pick supplier",IF(ISNA(MATCH(D342,Suppliers!$B$7:$B$106,0)),"⚠ Supplier not in list",IF(B342="","⚠ Enter bill date",IF(N(E342)&lt;=0,"⚠ Enter amount",IF(AND(C342&lt;&gt;"",COUNTIFS($D$8:$D$507,D342,$C$8:$C$507,C342)&gt;1),"⚠ Bill no. used twice",IF(N(I342)&gt;N(E342),"⚠ Paid more than bill","✔")))))))</f>
        <v/>
      </c>
      <c r="P342" s="9" t="n">
        <f aca="false">IF(D342="",0,MAX(0,N(E342)-N(I342)))</f>
        <v>0</v>
      </c>
      <c r="Q342" s="9" t="n">
        <f aca="false">IF(D342="",0,SUMIFS($P$8:$P$507,$D$8:$D$507,D342,$B$8:$B$507,"&lt;"&amp;B342)+SUMIFS($P$8:P341,$D$8:D341,D342,$B$8:B341,B342))</f>
        <v>0</v>
      </c>
      <c r="R342" s="9" t="n">
        <f aca="false">IF(D342="",0,IFERROR(INDEX(Suppliers!$R$7:$R$106,MATCH(D342,Suppliers!$B$7:$B$106,0)),0))</f>
        <v>0</v>
      </c>
      <c r="S342" s="9" t="str">
        <f aca="false">IF(N(K342)&gt;0,IF(H342="",99999,MIN(H342,IF(ISNUMBER(M342),M342,H342)))+ROW()/100000,"")</f>
        <v/>
      </c>
      <c r="U342" s="9" t="n">
        <f aca="false">IF(N(K342)&gt;0,N(L342),0)</f>
        <v>0</v>
      </c>
      <c r="V342" s="9" t="n">
        <f aca="false">IF(AND(N(K342)&gt;0,ISNUMBER(M342)),M342-Setup!$C$11,99999)</f>
        <v>99999</v>
      </c>
    </row>
    <row r="343" customFormat="false" ht="15" hidden="false" customHeight="false" outlineLevel="0" collapsed="false">
      <c r="A343" s="40" t="str">
        <f aca="false">IF(D343="","",ROW()-7)</f>
        <v/>
      </c>
      <c r="B343" s="79"/>
      <c r="C343" s="75"/>
      <c r="D343" s="76"/>
      <c r="E343" s="80"/>
      <c r="F343" s="79"/>
      <c r="G343" s="76"/>
      <c r="H343" s="54" t="str">
        <f aca="false">IF(OR(D343="",B343=""),"",IF(F343&lt;&gt;"",F343,B343+IFERROR(INDEX(Suppliers!$Q$7:$Q$106,MATCH(D343,Suppliers!$B$7:$B$106,0)),Setup!$C$7)))</f>
        <v/>
      </c>
      <c r="I343" s="46" t="str">
        <f aca="false">IF(OR(D343="",C343=""),IF(D343="","",0),SUMIFS(Payments!$D$8:$D$507,Payments!$C$8:$C$507,D343,Payments!$F$8:$F$507,C343))</f>
        <v/>
      </c>
      <c r="J343" s="46" t="str">
        <f aca="false">IF(D343="","",MIN(P343,MAX(0,R343-Q343)))</f>
        <v/>
      </c>
      <c r="K343" s="47" t="str">
        <f aca="false">IF(D343="","",P343-J343)</f>
        <v/>
      </c>
      <c r="L343" s="55" t="str">
        <f aca="false">IF(OR(D343="",N(K343)&lt;=0,H343=""),"",MAX(0,Setup!$C$11-H343))</f>
        <v/>
      </c>
      <c r="M343" s="54" t="str">
        <f aca="false">IF(OR(D343="",B343=""),"",IF(IFERROR(INDEX(Suppliers!$S$7:$S$106,MATCH(D343,Suppliers!$B$7:$B$106,0)),"")="","–",B343+IFERROR(INDEX(Suppliers!$S$7:$S$106,MATCH(D343,Suppliers!$B$7:$B$106,0)),"")))</f>
        <v/>
      </c>
      <c r="N343" s="56" t="str">
        <f aca="false">IF(D343="","",IF(N(K343)&lt;=0,"Paid",IF(AND(ISNUMBER(M343),Setup!$C$11&gt;M343),"⚠ MSME late",IF(N(L343)&gt;0,"Overdue",IF(N(V343)&lt;=Setup!$C$9,"⚠ MSME due soon",IF(K343&lt;E343,"Part paid","Not due"))))))</f>
        <v/>
      </c>
      <c r="O343" s="50" t="str">
        <f aca="false">IF(AND(D343="",B343="",C343="",E343=""),"",IF(D343="","⚠ Pick supplier",IF(ISNA(MATCH(D343,Suppliers!$B$7:$B$106,0)),"⚠ Supplier not in list",IF(B343="","⚠ Enter bill date",IF(N(E343)&lt;=0,"⚠ Enter amount",IF(AND(C343&lt;&gt;"",COUNTIFS($D$8:$D$507,D343,$C$8:$C$507,C343)&gt;1),"⚠ Bill no. used twice",IF(N(I343)&gt;N(E343),"⚠ Paid more than bill","✔")))))))</f>
        <v/>
      </c>
      <c r="P343" s="9" t="n">
        <f aca="false">IF(D343="",0,MAX(0,N(E343)-N(I343)))</f>
        <v>0</v>
      </c>
      <c r="Q343" s="9" t="n">
        <f aca="false">IF(D343="",0,SUMIFS($P$8:$P$507,$D$8:$D$507,D343,$B$8:$B$507,"&lt;"&amp;B343)+SUMIFS($P$8:P342,$D$8:D342,D343,$B$8:B342,B343))</f>
        <v>0</v>
      </c>
      <c r="R343" s="9" t="n">
        <f aca="false">IF(D343="",0,IFERROR(INDEX(Suppliers!$R$7:$R$106,MATCH(D343,Suppliers!$B$7:$B$106,0)),0))</f>
        <v>0</v>
      </c>
      <c r="S343" s="9" t="str">
        <f aca="false">IF(N(K343)&gt;0,IF(H343="",99999,MIN(H343,IF(ISNUMBER(M343),M343,H343)))+ROW()/100000,"")</f>
        <v/>
      </c>
      <c r="U343" s="9" t="n">
        <f aca="false">IF(N(K343)&gt;0,N(L343),0)</f>
        <v>0</v>
      </c>
      <c r="V343" s="9" t="n">
        <f aca="false">IF(AND(N(K343)&gt;0,ISNUMBER(M343)),M343-Setup!$C$11,99999)</f>
        <v>99999</v>
      </c>
    </row>
    <row r="344" customFormat="false" ht="15" hidden="false" customHeight="false" outlineLevel="0" collapsed="false">
      <c r="A344" s="40" t="str">
        <f aca="false">IF(D344="","",ROW()-7)</f>
        <v/>
      </c>
      <c r="B344" s="79"/>
      <c r="C344" s="75"/>
      <c r="D344" s="76"/>
      <c r="E344" s="80"/>
      <c r="F344" s="79"/>
      <c r="G344" s="76"/>
      <c r="H344" s="54" t="str">
        <f aca="false">IF(OR(D344="",B344=""),"",IF(F344&lt;&gt;"",F344,B344+IFERROR(INDEX(Suppliers!$Q$7:$Q$106,MATCH(D344,Suppliers!$B$7:$B$106,0)),Setup!$C$7)))</f>
        <v/>
      </c>
      <c r="I344" s="46" t="str">
        <f aca="false">IF(OR(D344="",C344=""),IF(D344="","",0),SUMIFS(Payments!$D$8:$D$507,Payments!$C$8:$C$507,D344,Payments!$F$8:$F$507,C344))</f>
        <v/>
      </c>
      <c r="J344" s="46" t="str">
        <f aca="false">IF(D344="","",MIN(P344,MAX(0,R344-Q344)))</f>
        <v/>
      </c>
      <c r="K344" s="47" t="str">
        <f aca="false">IF(D344="","",P344-J344)</f>
        <v/>
      </c>
      <c r="L344" s="55" t="str">
        <f aca="false">IF(OR(D344="",N(K344)&lt;=0,H344=""),"",MAX(0,Setup!$C$11-H344))</f>
        <v/>
      </c>
      <c r="M344" s="54" t="str">
        <f aca="false">IF(OR(D344="",B344=""),"",IF(IFERROR(INDEX(Suppliers!$S$7:$S$106,MATCH(D344,Suppliers!$B$7:$B$106,0)),"")="","–",B344+IFERROR(INDEX(Suppliers!$S$7:$S$106,MATCH(D344,Suppliers!$B$7:$B$106,0)),"")))</f>
        <v/>
      </c>
      <c r="N344" s="56" t="str">
        <f aca="false">IF(D344="","",IF(N(K344)&lt;=0,"Paid",IF(AND(ISNUMBER(M344),Setup!$C$11&gt;M344),"⚠ MSME late",IF(N(L344)&gt;0,"Overdue",IF(N(V344)&lt;=Setup!$C$9,"⚠ MSME due soon",IF(K344&lt;E344,"Part paid","Not due"))))))</f>
        <v/>
      </c>
      <c r="O344" s="50" t="str">
        <f aca="false">IF(AND(D344="",B344="",C344="",E344=""),"",IF(D344="","⚠ Pick supplier",IF(ISNA(MATCH(D344,Suppliers!$B$7:$B$106,0)),"⚠ Supplier not in list",IF(B344="","⚠ Enter bill date",IF(N(E344)&lt;=0,"⚠ Enter amount",IF(AND(C344&lt;&gt;"",COUNTIFS($D$8:$D$507,D344,$C$8:$C$507,C344)&gt;1),"⚠ Bill no. used twice",IF(N(I344)&gt;N(E344),"⚠ Paid more than bill","✔")))))))</f>
        <v/>
      </c>
      <c r="P344" s="9" t="n">
        <f aca="false">IF(D344="",0,MAX(0,N(E344)-N(I344)))</f>
        <v>0</v>
      </c>
      <c r="Q344" s="9" t="n">
        <f aca="false">IF(D344="",0,SUMIFS($P$8:$P$507,$D$8:$D$507,D344,$B$8:$B$507,"&lt;"&amp;B344)+SUMIFS($P$8:P343,$D$8:D343,D344,$B$8:B343,B344))</f>
        <v>0</v>
      </c>
      <c r="R344" s="9" t="n">
        <f aca="false">IF(D344="",0,IFERROR(INDEX(Suppliers!$R$7:$R$106,MATCH(D344,Suppliers!$B$7:$B$106,0)),0))</f>
        <v>0</v>
      </c>
      <c r="S344" s="9" t="str">
        <f aca="false">IF(N(K344)&gt;0,IF(H344="",99999,MIN(H344,IF(ISNUMBER(M344),M344,H344)))+ROW()/100000,"")</f>
        <v/>
      </c>
      <c r="U344" s="9" t="n">
        <f aca="false">IF(N(K344)&gt;0,N(L344),0)</f>
        <v>0</v>
      </c>
      <c r="V344" s="9" t="n">
        <f aca="false">IF(AND(N(K344)&gt;0,ISNUMBER(M344)),M344-Setup!$C$11,99999)</f>
        <v>99999</v>
      </c>
    </row>
    <row r="345" customFormat="false" ht="15" hidden="false" customHeight="false" outlineLevel="0" collapsed="false">
      <c r="A345" s="40" t="str">
        <f aca="false">IF(D345="","",ROW()-7)</f>
        <v/>
      </c>
      <c r="B345" s="79"/>
      <c r="C345" s="75"/>
      <c r="D345" s="76"/>
      <c r="E345" s="80"/>
      <c r="F345" s="79"/>
      <c r="G345" s="76"/>
      <c r="H345" s="54" t="str">
        <f aca="false">IF(OR(D345="",B345=""),"",IF(F345&lt;&gt;"",F345,B345+IFERROR(INDEX(Suppliers!$Q$7:$Q$106,MATCH(D345,Suppliers!$B$7:$B$106,0)),Setup!$C$7)))</f>
        <v/>
      </c>
      <c r="I345" s="46" t="str">
        <f aca="false">IF(OR(D345="",C345=""),IF(D345="","",0),SUMIFS(Payments!$D$8:$D$507,Payments!$C$8:$C$507,D345,Payments!$F$8:$F$507,C345))</f>
        <v/>
      </c>
      <c r="J345" s="46" t="str">
        <f aca="false">IF(D345="","",MIN(P345,MAX(0,R345-Q345)))</f>
        <v/>
      </c>
      <c r="K345" s="47" t="str">
        <f aca="false">IF(D345="","",P345-J345)</f>
        <v/>
      </c>
      <c r="L345" s="55" t="str">
        <f aca="false">IF(OR(D345="",N(K345)&lt;=0,H345=""),"",MAX(0,Setup!$C$11-H345))</f>
        <v/>
      </c>
      <c r="M345" s="54" t="str">
        <f aca="false">IF(OR(D345="",B345=""),"",IF(IFERROR(INDEX(Suppliers!$S$7:$S$106,MATCH(D345,Suppliers!$B$7:$B$106,0)),"")="","–",B345+IFERROR(INDEX(Suppliers!$S$7:$S$106,MATCH(D345,Suppliers!$B$7:$B$106,0)),"")))</f>
        <v/>
      </c>
      <c r="N345" s="56" t="str">
        <f aca="false">IF(D345="","",IF(N(K345)&lt;=0,"Paid",IF(AND(ISNUMBER(M345),Setup!$C$11&gt;M345),"⚠ MSME late",IF(N(L345)&gt;0,"Overdue",IF(N(V345)&lt;=Setup!$C$9,"⚠ MSME due soon",IF(K345&lt;E345,"Part paid","Not due"))))))</f>
        <v/>
      </c>
      <c r="O345" s="50" t="str">
        <f aca="false">IF(AND(D345="",B345="",C345="",E345=""),"",IF(D345="","⚠ Pick supplier",IF(ISNA(MATCH(D345,Suppliers!$B$7:$B$106,0)),"⚠ Supplier not in list",IF(B345="","⚠ Enter bill date",IF(N(E345)&lt;=0,"⚠ Enter amount",IF(AND(C345&lt;&gt;"",COUNTIFS($D$8:$D$507,D345,$C$8:$C$507,C345)&gt;1),"⚠ Bill no. used twice",IF(N(I345)&gt;N(E345),"⚠ Paid more than bill","✔")))))))</f>
        <v/>
      </c>
      <c r="P345" s="9" t="n">
        <f aca="false">IF(D345="",0,MAX(0,N(E345)-N(I345)))</f>
        <v>0</v>
      </c>
      <c r="Q345" s="9" t="n">
        <f aca="false">IF(D345="",0,SUMIFS($P$8:$P$507,$D$8:$D$507,D345,$B$8:$B$507,"&lt;"&amp;B345)+SUMIFS($P$8:P344,$D$8:D344,D345,$B$8:B344,B345))</f>
        <v>0</v>
      </c>
      <c r="R345" s="9" t="n">
        <f aca="false">IF(D345="",0,IFERROR(INDEX(Suppliers!$R$7:$R$106,MATCH(D345,Suppliers!$B$7:$B$106,0)),0))</f>
        <v>0</v>
      </c>
      <c r="S345" s="9" t="str">
        <f aca="false">IF(N(K345)&gt;0,IF(H345="",99999,MIN(H345,IF(ISNUMBER(M345),M345,H345)))+ROW()/100000,"")</f>
        <v/>
      </c>
      <c r="U345" s="9" t="n">
        <f aca="false">IF(N(K345)&gt;0,N(L345),0)</f>
        <v>0</v>
      </c>
      <c r="V345" s="9" t="n">
        <f aca="false">IF(AND(N(K345)&gt;0,ISNUMBER(M345)),M345-Setup!$C$11,99999)</f>
        <v>99999</v>
      </c>
    </row>
    <row r="346" customFormat="false" ht="15" hidden="false" customHeight="false" outlineLevel="0" collapsed="false">
      <c r="A346" s="40" t="str">
        <f aca="false">IF(D346="","",ROW()-7)</f>
        <v/>
      </c>
      <c r="B346" s="79"/>
      <c r="C346" s="75"/>
      <c r="D346" s="76"/>
      <c r="E346" s="80"/>
      <c r="F346" s="79"/>
      <c r="G346" s="76"/>
      <c r="H346" s="54" t="str">
        <f aca="false">IF(OR(D346="",B346=""),"",IF(F346&lt;&gt;"",F346,B346+IFERROR(INDEX(Suppliers!$Q$7:$Q$106,MATCH(D346,Suppliers!$B$7:$B$106,0)),Setup!$C$7)))</f>
        <v/>
      </c>
      <c r="I346" s="46" t="str">
        <f aca="false">IF(OR(D346="",C346=""),IF(D346="","",0),SUMIFS(Payments!$D$8:$D$507,Payments!$C$8:$C$507,D346,Payments!$F$8:$F$507,C346))</f>
        <v/>
      </c>
      <c r="J346" s="46" t="str">
        <f aca="false">IF(D346="","",MIN(P346,MAX(0,R346-Q346)))</f>
        <v/>
      </c>
      <c r="K346" s="47" t="str">
        <f aca="false">IF(D346="","",P346-J346)</f>
        <v/>
      </c>
      <c r="L346" s="55" t="str">
        <f aca="false">IF(OR(D346="",N(K346)&lt;=0,H346=""),"",MAX(0,Setup!$C$11-H346))</f>
        <v/>
      </c>
      <c r="M346" s="54" t="str">
        <f aca="false">IF(OR(D346="",B346=""),"",IF(IFERROR(INDEX(Suppliers!$S$7:$S$106,MATCH(D346,Suppliers!$B$7:$B$106,0)),"")="","–",B346+IFERROR(INDEX(Suppliers!$S$7:$S$106,MATCH(D346,Suppliers!$B$7:$B$106,0)),"")))</f>
        <v/>
      </c>
      <c r="N346" s="56" t="str">
        <f aca="false">IF(D346="","",IF(N(K346)&lt;=0,"Paid",IF(AND(ISNUMBER(M346),Setup!$C$11&gt;M346),"⚠ MSME late",IF(N(L346)&gt;0,"Overdue",IF(N(V346)&lt;=Setup!$C$9,"⚠ MSME due soon",IF(K346&lt;E346,"Part paid","Not due"))))))</f>
        <v/>
      </c>
      <c r="O346" s="50" t="str">
        <f aca="false">IF(AND(D346="",B346="",C346="",E346=""),"",IF(D346="","⚠ Pick supplier",IF(ISNA(MATCH(D346,Suppliers!$B$7:$B$106,0)),"⚠ Supplier not in list",IF(B346="","⚠ Enter bill date",IF(N(E346)&lt;=0,"⚠ Enter amount",IF(AND(C346&lt;&gt;"",COUNTIFS($D$8:$D$507,D346,$C$8:$C$507,C346)&gt;1),"⚠ Bill no. used twice",IF(N(I346)&gt;N(E346),"⚠ Paid more than bill","✔")))))))</f>
        <v/>
      </c>
      <c r="P346" s="9" t="n">
        <f aca="false">IF(D346="",0,MAX(0,N(E346)-N(I346)))</f>
        <v>0</v>
      </c>
      <c r="Q346" s="9" t="n">
        <f aca="false">IF(D346="",0,SUMIFS($P$8:$P$507,$D$8:$D$507,D346,$B$8:$B$507,"&lt;"&amp;B346)+SUMIFS($P$8:P345,$D$8:D345,D346,$B$8:B345,B346))</f>
        <v>0</v>
      </c>
      <c r="R346" s="9" t="n">
        <f aca="false">IF(D346="",0,IFERROR(INDEX(Suppliers!$R$7:$R$106,MATCH(D346,Suppliers!$B$7:$B$106,0)),0))</f>
        <v>0</v>
      </c>
      <c r="S346" s="9" t="str">
        <f aca="false">IF(N(K346)&gt;0,IF(H346="",99999,MIN(H346,IF(ISNUMBER(M346),M346,H346)))+ROW()/100000,"")</f>
        <v/>
      </c>
      <c r="U346" s="9" t="n">
        <f aca="false">IF(N(K346)&gt;0,N(L346),0)</f>
        <v>0</v>
      </c>
      <c r="V346" s="9" t="n">
        <f aca="false">IF(AND(N(K346)&gt;0,ISNUMBER(M346)),M346-Setup!$C$11,99999)</f>
        <v>99999</v>
      </c>
    </row>
    <row r="347" customFormat="false" ht="15" hidden="false" customHeight="false" outlineLevel="0" collapsed="false">
      <c r="A347" s="40" t="str">
        <f aca="false">IF(D347="","",ROW()-7)</f>
        <v/>
      </c>
      <c r="B347" s="79"/>
      <c r="C347" s="75"/>
      <c r="D347" s="76"/>
      <c r="E347" s="80"/>
      <c r="F347" s="79"/>
      <c r="G347" s="76"/>
      <c r="H347" s="54" t="str">
        <f aca="false">IF(OR(D347="",B347=""),"",IF(F347&lt;&gt;"",F347,B347+IFERROR(INDEX(Suppliers!$Q$7:$Q$106,MATCH(D347,Suppliers!$B$7:$B$106,0)),Setup!$C$7)))</f>
        <v/>
      </c>
      <c r="I347" s="46" t="str">
        <f aca="false">IF(OR(D347="",C347=""),IF(D347="","",0),SUMIFS(Payments!$D$8:$D$507,Payments!$C$8:$C$507,D347,Payments!$F$8:$F$507,C347))</f>
        <v/>
      </c>
      <c r="J347" s="46" t="str">
        <f aca="false">IF(D347="","",MIN(P347,MAX(0,R347-Q347)))</f>
        <v/>
      </c>
      <c r="K347" s="47" t="str">
        <f aca="false">IF(D347="","",P347-J347)</f>
        <v/>
      </c>
      <c r="L347" s="55" t="str">
        <f aca="false">IF(OR(D347="",N(K347)&lt;=0,H347=""),"",MAX(0,Setup!$C$11-H347))</f>
        <v/>
      </c>
      <c r="M347" s="54" t="str">
        <f aca="false">IF(OR(D347="",B347=""),"",IF(IFERROR(INDEX(Suppliers!$S$7:$S$106,MATCH(D347,Suppliers!$B$7:$B$106,0)),"")="","–",B347+IFERROR(INDEX(Suppliers!$S$7:$S$106,MATCH(D347,Suppliers!$B$7:$B$106,0)),"")))</f>
        <v/>
      </c>
      <c r="N347" s="56" t="str">
        <f aca="false">IF(D347="","",IF(N(K347)&lt;=0,"Paid",IF(AND(ISNUMBER(M347),Setup!$C$11&gt;M347),"⚠ MSME late",IF(N(L347)&gt;0,"Overdue",IF(N(V347)&lt;=Setup!$C$9,"⚠ MSME due soon",IF(K347&lt;E347,"Part paid","Not due"))))))</f>
        <v/>
      </c>
      <c r="O347" s="50" t="str">
        <f aca="false">IF(AND(D347="",B347="",C347="",E347=""),"",IF(D347="","⚠ Pick supplier",IF(ISNA(MATCH(D347,Suppliers!$B$7:$B$106,0)),"⚠ Supplier not in list",IF(B347="","⚠ Enter bill date",IF(N(E347)&lt;=0,"⚠ Enter amount",IF(AND(C347&lt;&gt;"",COUNTIFS($D$8:$D$507,D347,$C$8:$C$507,C347)&gt;1),"⚠ Bill no. used twice",IF(N(I347)&gt;N(E347),"⚠ Paid more than bill","✔")))))))</f>
        <v/>
      </c>
      <c r="P347" s="9" t="n">
        <f aca="false">IF(D347="",0,MAX(0,N(E347)-N(I347)))</f>
        <v>0</v>
      </c>
      <c r="Q347" s="9" t="n">
        <f aca="false">IF(D347="",0,SUMIFS($P$8:$P$507,$D$8:$D$507,D347,$B$8:$B$507,"&lt;"&amp;B347)+SUMIFS($P$8:P346,$D$8:D346,D347,$B$8:B346,B347))</f>
        <v>0</v>
      </c>
      <c r="R347" s="9" t="n">
        <f aca="false">IF(D347="",0,IFERROR(INDEX(Suppliers!$R$7:$R$106,MATCH(D347,Suppliers!$B$7:$B$106,0)),0))</f>
        <v>0</v>
      </c>
      <c r="S347" s="9" t="str">
        <f aca="false">IF(N(K347)&gt;0,IF(H347="",99999,MIN(H347,IF(ISNUMBER(M347),M347,H347)))+ROW()/100000,"")</f>
        <v/>
      </c>
      <c r="U347" s="9" t="n">
        <f aca="false">IF(N(K347)&gt;0,N(L347),0)</f>
        <v>0</v>
      </c>
      <c r="V347" s="9" t="n">
        <f aca="false">IF(AND(N(K347)&gt;0,ISNUMBER(M347)),M347-Setup!$C$11,99999)</f>
        <v>99999</v>
      </c>
    </row>
    <row r="348" customFormat="false" ht="15" hidden="false" customHeight="false" outlineLevel="0" collapsed="false">
      <c r="A348" s="40" t="str">
        <f aca="false">IF(D348="","",ROW()-7)</f>
        <v/>
      </c>
      <c r="B348" s="79"/>
      <c r="C348" s="75"/>
      <c r="D348" s="76"/>
      <c r="E348" s="80"/>
      <c r="F348" s="79"/>
      <c r="G348" s="76"/>
      <c r="H348" s="54" t="str">
        <f aca="false">IF(OR(D348="",B348=""),"",IF(F348&lt;&gt;"",F348,B348+IFERROR(INDEX(Suppliers!$Q$7:$Q$106,MATCH(D348,Suppliers!$B$7:$B$106,0)),Setup!$C$7)))</f>
        <v/>
      </c>
      <c r="I348" s="46" t="str">
        <f aca="false">IF(OR(D348="",C348=""),IF(D348="","",0),SUMIFS(Payments!$D$8:$D$507,Payments!$C$8:$C$507,D348,Payments!$F$8:$F$507,C348))</f>
        <v/>
      </c>
      <c r="J348" s="46" t="str">
        <f aca="false">IF(D348="","",MIN(P348,MAX(0,R348-Q348)))</f>
        <v/>
      </c>
      <c r="K348" s="47" t="str">
        <f aca="false">IF(D348="","",P348-J348)</f>
        <v/>
      </c>
      <c r="L348" s="55" t="str">
        <f aca="false">IF(OR(D348="",N(K348)&lt;=0,H348=""),"",MAX(0,Setup!$C$11-H348))</f>
        <v/>
      </c>
      <c r="M348" s="54" t="str">
        <f aca="false">IF(OR(D348="",B348=""),"",IF(IFERROR(INDEX(Suppliers!$S$7:$S$106,MATCH(D348,Suppliers!$B$7:$B$106,0)),"")="","–",B348+IFERROR(INDEX(Suppliers!$S$7:$S$106,MATCH(D348,Suppliers!$B$7:$B$106,0)),"")))</f>
        <v/>
      </c>
      <c r="N348" s="56" t="str">
        <f aca="false">IF(D348="","",IF(N(K348)&lt;=0,"Paid",IF(AND(ISNUMBER(M348),Setup!$C$11&gt;M348),"⚠ MSME late",IF(N(L348)&gt;0,"Overdue",IF(N(V348)&lt;=Setup!$C$9,"⚠ MSME due soon",IF(K348&lt;E348,"Part paid","Not due"))))))</f>
        <v/>
      </c>
      <c r="O348" s="50" t="str">
        <f aca="false">IF(AND(D348="",B348="",C348="",E348=""),"",IF(D348="","⚠ Pick supplier",IF(ISNA(MATCH(D348,Suppliers!$B$7:$B$106,0)),"⚠ Supplier not in list",IF(B348="","⚠ Enter bill date",IF(N(E348)&lt;=0,"⚠ Enter amount",IF(AND(C348&lt;&gt;"",COUNTIFS($D$8:$D$507,D348,$C$8:$C$507,C348)&gt;1),"⚠ Bill no. used twice",IF(N(I348)&gt;N(E348),"⚠ Paid more than bill","✔")))))))</f>
        <v/>
      </c>
      <c r="P348" s="9" t="n">
        <f aca="false">IF(D348="",0,MAX(0,N(E348)-N(I348)))</f>
        <v>0</v>
      </c>
      <c r="Q348" s="9" t="n">
        <f aca="false">IF(D348="",0,SUMIFS($P$8:$P$507,$D$8:$D$507,D348,$B$8:$B$507,"&lt;"&amp;B348)+SUMIFS($P$8:P347,$D$8:D347,D348,$B$8:B347,B348))</f>
        <v>0</v>
      </c>
      <c r="R348" s="9" t="n">
        <f aca="false">IF(D348="",0,IFERROR(INDEX(Suppliers!$R$7:$R$106,MATCH(D348,Suppliers!$B$7:$B$106,0)),0))</f>
        <v>0</v>
      </c>
      <c r="S348" s="9" t="str">
        <f aca="false">IF(N(K348)&gt;0,IF(H348="",99999,MIN(H348,IF(ISNUMBER(M348),M348,H348)))+ROW()/100000,"")</f>
        <v/>
      </c>
      <c r="U348" s="9" t="n">
        <f aca="false">IF(N(K348)&gt;0,N(L348),0)</f>
        <v>0</v>
      </c>
      <c r="V348" s="9" t="n">
        <f aca="false">IF(AND(N(K348)&gt;0,ISNUMBER(M348)),M348-Setup!$C$11,99999)</f>
        <v>99999</v>
      </c>
    </row>
    <row r="349" customFormat="false" ht="15" hidden="false" customHeight="false" outlineLevel="0" collapsed="false">
      <c r="A349" s="40" t="str">
        <f aca="false">IF(D349="","",ROW()-7)</f>
        <v/>
      </c>
      <c r="B349" s="79"/>
      <c r="C349" s="75"/>
      <c r="D349" s="76"/>
      <c r="E349" s="80"/>
      <c r="F349" s="79"/>
      <c r="G349" s="76"/>
      <c r="H349" s="54" t="str">
        <f aca="false">IF(OR(D349="",B349=""),"",IF(F349&lt;&gt;"",F349,B349+IFERROR(INDEX(Suppliers!$Q$7:$Q$106,MATCH(D349,Suppliers!$B$7:$B$106,0)),Setup!$C$7)))</f>
        <v/>
      </c>
      <c r="I349" s="46" t="str">
        <f aca="false">IF(OR(D349="",C349=""),IF(D349="","",0),SUMIFS(Payments!$D$8:$D$507,Payments!$C$8:$C$507,D349,Payments!$F$8:$F$507,C349))</f>
        <v/>
      </c>
      <c r="J349" s="46" t="str">
        <f aca="false">IF(D349="","",MIN(P349,MAX(0,R349-Q349)))</f>
        <v/>
      </c>
      <c r="K349" s="47" t="str">
        <f aca="false">IF(D349="","",P349-J349)</f>
        <v/>
      </c>
      <c r="L349" s="55" t="str">
        <f aca="false">IF(OR(D349="",N(K349)&lt;=0,H349=""),"",MAX(0,Setup!$C$11-H349))</f>
        <v/>
      </c>
      <c r="M349" s="54" t="str">
        <f aca="false">IF(OR(D349="",B349=""),"",IF(IFERROR(INDEX(Suppliers!$S$7:$S$106,MATCH(D349,Suppliers!$B$7:$B$106,0)),"")="","–",B349+IFERROR(INDEX(Suppliers!$S$7:$S$106,MATCH(D349,Suppliers!$B$7:$B$106,0)),"")))</f>
        <v/>
      </c>
      <c r="N349" s="56" t="str">
        <f aca="false">IF(D349="","",IF(N(K349)&lt;=0,"Paid",IF(AND(ISNUMBER(M349),Setup!$C$11&gt;M349),"⚠ MSME late",IF(N(L349)&gt;0,"Overdue",IF(N(V349)&lt;=Setup!$C$9,"⚠ MSME due soon",IF(K349&lt;E349,"Part paid","Not due"))))))</f>
        <v/>
      </c>
      <c r="O349" s="50" t="str">
        <f aca="false">IF(AND(D349="",B349="",C349="",E349=""),"",IF(D349="","⚠ Pick supplier",IF(ISNA(MATCH(D349,Suppliers!$B$7:$B$106,0)),"⚠ Supplier not in list",IF(B349="","⚠ Enter bill date",IF(N(E349)&lt;=0,"⚠ Enter amount",IF(AND(C349&lt;&gt;"",COUNTIFS($D$8:$D$507,D349,$C$8:$C$507,C349)&gt;1),"⚠ Bill no. used twice",IF(N(I349)&gt;N(E349),"⚠ Paid more than bill","✔")))))))</f>
        <v/>
      </c>
      <c r="P349" s="9" t="n">
        <f aca="false">IF(D349="",0,MAX(0,N(E349)-N(I349)))</f>
        <v>0</v>
      </c>
      <c r="Q349" s="9" t="n">
        <f aca="false">IF(D349="",0,SUMIFS($P$8:$P$507,$D$8:$D$507,D349,$B$8:$B$507,"&lt;"&amp;B349)+SUMIFS($P$8:P348,$D$8:D348,D349,$B$8:B348,B349))</f>
        <v>0</v>
      </c>
      <c r="R349" s="9" t="n">
        <f aca="false">IF(D349="",0,IFERROR(INDEX(Suppliers!$R$7:$R$106,MATCH(D349,Suppliers!$B$7:$B$106,0)),0))</f>
        <v>0</v>
      </c>
      <c r="S349" s="9" t="str">
        <f aca="false">IF(N(K349)&gt;0,IF(H349="",99999,MIN(H349,IF(ISNUMBER(M349),M349,H349)))+ROW()/100000,"")</f>
        <v/>
      </c>
      <c r="U349" s="9" t="n">
        <f aca="false">IF(N(K349)&gt;0,N(L349),0)</f>
        <v>0</v>
      </c>
      <c r="V349" s="9" t="n">
        <f aca="false">IF(AND(N(K349)&gt;0,ISNUMBER(M349)),M349-Setup!$C$11,99999)</f>
        <v>99999</v>
      </c>
    </row>
    <row r="350" customFormat="false" ht="15" hidden="false" customHeight="false" outlineLevel="0" collapsed="false">
      <c r="A350" s="40" t="str">
        <f aca="false">IF(D350="","",ROW()-7)</f>
        <v/>
      </c>
      <c r="B350" s="79"/>
      <c r="C350" s="75"/>
      <c r="D350" s="76"/>
      <c r="E350" s="80"/>
      <c r="F350" s="79"/>
      <c r="G350" s="76"/>
      <c r="H350" s="54" t="str">
        <f aca="false">IF(OR(D350="",B350=""),"",IF(F350&lt;&gt;"",F350,B350+IFERROR(INDEX(Suppliers!$Q$7:$Q$106,MATCH(D350,Suppliers!$B$7:$B$106,0)),Setup!$C$7)))</f>
        <v/>
      </c>
      <c r="I350" s="46" t="str">
        <f aca="false">IF(OR(D350="",C350=""),IF(D350="","",0),SUMIFS(Payments!$D$8:$D$507,Payments!$C$8:$C$507,D350,Payments!$F$8:$F$507,C350))</f>
        <v/>
      </c>
      <c r="J350" s="46" t="str">
        <f aca="false">IF(D350="","",MIN(P350,MAX(0,R350-Q350)))</f>
        <v/>
      </c>
      <c r="K350" s="47" t="str">
        <f aca="false">IF(D350="","",P350-J350)</f>
        <v/>
      </c>
      <c r="L350" s="55" t="str">
        <f aca="false">IF(OR(D350="",N(K350)&lt;=0,H350=""),"",MAX(0,Setup!$C$11-H350))</f>
        <v/>
      </c>
      <c r="M350" s="54" t="str">
        <f aca="false">IF(OR(D350="",B350=""),"",IF(IFERROR(INDEX(Suppliers!$S$7:$S$106,MATCH(D350,Suppliers!$B$7:$B$106,0)),"")="","–",B350+IFERROR(INDEX(Suppliers!$S$7:$S$106,MATCH(D350,Suppliers!$B$7:$B$106,0)),"")))</f>
        <v/>
      </c>
      <c r="N350" s="56" t="str">
        <f aca="false">IF(D350="","",IF(N(K350)&lt;=0,"Paid",IF(AND(ISNUMBER(M350),Setup!$C$11&gt;M350),"⚠ MSME late",IF(N(L350)&gt;0,"Overdue",IF(N(V350)&lt;=Setup!$C$9,"⚠ MSME due soon",IF(K350&lt;E350,"Part paid","Not due"))))))</f>
        <v/>
      </c>
      <c r="O350" s="50" t="str">
        <f aca="false">IF(AND(D350="",B350="",C350="",E350=""),"",IF(D350="","⚠ Pick supplier",IF(ISNA(MATCH(D350,Suppliers!$B$7:$B$106,0)),"⚠ Supplier not in list",IF(B350="","⚠ Enter bill date",IF(N(E350)&lt;=0,"⚠ Enter amount",IF(AND(C350&lt;&gt;"",COUNTIFS($D$8:$D$507,D350,$C$8:$C$507,C350)&gt;1),"⚠ Bill no. used twice",IF(N(I350)&gt;N(E350),"⚠ Paid more than bill","✔")))))))</f>
        <v/>
      </c>
      <c r="P350" s="9" t="n">
        <f aca="false">IF(D350="",0,MAX(0,N(E350)-N(I350)))</f>
        <v>0</v>
      </c>
      <c r="Q350" s="9" t="n">
        <f aca="false">IF(D350="",0,SUMIFS($P$8:$P$507,$D$8:$D$507,D350,$B$8:$B$507,"&lt;"&amp;B350)+SUMIFS($P$8:P349,$D$8:D349,D350,$B$8:B349,B350))</f>
        <v>0</v>
      </c>
      <c r="R350" s="9" t="n">
        <f aca="false">IF(D350="",0,IFERROR(INDEX(Suppliers!$R$7:$R$106,MATCH(D350,Suppliers!$B$7:$B$106,0)),0))</f>
        <v>0</v>
      </c>
      <c r="S350" s="9" t="str">
        <f aca="false">IF(N(K350)&gt;0,IF(H350="",99999,MIN(H350,IF(ISNUMBER(M350),M350,H350)))+ROW()/100000,"")</f>
        <v/>
      </c>
      <c r="U350" s="9" t="n">
        <f aca="false">IF(N(K350)&gt;0,N(L350),0)</f>
        <v>0</v>
      </c>
      <c r="V350" s="9" t="n">
        <f aca="false">IF(AND(N(K350)&gt;0,ISNUMBER(M350)),M350-Setup!$C$11,99999)</f>
        <v>99999</v>
      </c>
    </row>
    <row r="351" customFormat="false" ht="15" hidden="false" customHeight="false" outlineLevel="0" collapsed="false">
      <c r="A351" s="40" t="str">
        <f aca="false">IF(D351="","",ROW()-7)</f>
        <v/>
      </c>
      <c r="B351" s="79"/>
      <c r="C351" s="75"/>
      <c r="D351" s="76"/>
      <c r="E351" s="80"/>
      <c r="F351" s="79"/>
      <c r="G351" s="76"/>
      <c r="H351" s="54" t="str">
        <f aca="false">IF(OR(D351="",B351=""),"",IF(F351&lt;&gt;"",F351,B351+IFERROR(INDEX(Suppliers!$Q$7:$Q$106,MATCH(D351,Suppliers!$B$7:$B$106,0)),Setup!$C$7)))</f>
        <v/>
      </c>
      <c r="I351" s="46" t="str">
        <f aca="false">IF(OR(D351="",C351=""),IF(D351="","",0),SUMIFS(Payments!$D$8:$D$507,Payments!$C$8:$C$507,D351,Payments!$F$8:$F$507,C351))</f>
        <v/>
      </c>
      <c r="J351" s="46" t="str">
        <f aca="false">IF(D351="","",MIN(P351,MAX(0,R351-Q351)))</f>
        <v/>
      </c>
      <c r="K351" s="47" t="str">
        <f aca="false">IF(D351="","",P351-J351)</f>
        <v/>
      </c>
      <c r="L351" s="55" t="str">
        <f aca="false">IF(OR(D351="",N(K351)&lt;=0,H351=""),"",MAX(0,Setup!$C$11-H351))</f>
        <v/>
      </c>
      <c r="M351" s="54" t="str">
        <f aca="false">IF(OR(D351="",B351=""),"",IF(IFERROR(INDEX(Suppliers!$S$7:$S$106,MATCH(D351,Suppliers!$B$7:$B$106,0)),"")="","–",B351+IFERROR(INDEX(Suppliers!$S$7:$S$106,MATCH(D351,Suppliers!$B$7:$B$106,0)),"")))</f>
        <v/>
      </c>
      <c r="N351" s="56" t="str">
        <f aca="false">IF(D351="","",IF(N(K351)&lt;=0,"Paid",IF(AND(ISNUMBER(M351),Setup!$C$11&gt;M351),"⚠ MSME late",IF(N(L351)&gt;0,"Overdue",IF(N(V351)&lt;=Setup!$C$9,"⚠ MSME due soon",IF(K351&lt;E351,"Part paid","Not due"))))))</f>
        <v/>
      </c>
      <c r="O351" s="50" t="str">
        <f aca="false">IF(AND(D351="",B351="",C351="",E351=""),"",IF(D351="","⚠ Pick supplier",IF(ISNA(MATCH(D351,Suppliers!$B$7:$B$106,0)),"⚠ Supplier not in list",IF(B351="","⚠ Enter bill date",IF(N(E351)&lt;=0,"⚠ Enter amount",IF(AND(C351&lt;&gt;"",COUNTIFS($D$8:$D$507,D351,$C$8:$C$507,C351)&gt;1),"⚠ Bill no. used twice",IF(N(I351)&gt;N(E351),"⚠ Paid more than bill","✔")))))))</f>
        <v/>
      </c>
      <c r="P351" s="9" t="n">
        <f aca="false">IF(D351="",0,MAX(0,N(E351)-N(I351)))</f>
        <v>0</v>
      </c>
      <c r="Q351" s="9" t="n">
        <f aca="false">IF(D351="",0,SUMIFS($P$8:$P$507,$D$8:$D$507,D351,$B$8:$B$507,"&lt;"&amp;B351)+SUMIFS($P$8:P350,$D$8:D350,D351,$B$8:B350,B351))</f>
        <v>0</v>
      </c>
      <c r="R351" s="9" t="n">
        <f aca="false">IF(D351="",0,IFERROR(INDEX(Suppliers!$R$7:$R$106,MATCH(D351,Suppliers!$B$7:$B$106,0)),0))</f>
        <v>0</v>
      </c>
      <c r="S351" s="9" t="str">
        <f aca="false">IF(N(K351)&gt;0,IF(H351="",99999,MIN(H351,IF(ISNUMBER(M351),M351,H351)))+ROW()/100000,"")</f>
        <v/>
      </c>
      <c r="U351" s="9" t="n">
        <f aca="false">IF(N(K351)&gt;0,N(L351),0)</f>
        <v>0</v>
      </c>
      <c r="V351" s="9" t="n">
        <f aca="false">IF(AND(N(K351)&gt;0,ISNUMBER(M351)),M351-Setup!$C$11,99999)</f>
        <v>99999</v>
      </c>
    </row>
    <row r="352" customFormat="false" ht="15" hidden="false" customHeight="false" outlineLevel="0" collapsed="false">
      <c r="A352" s="40" t="str">
        <f aca="false">IF(D352="","",ROW()-7)</f>
        <v/>
      </c>
      <c r="B352" s="79"/>
      <c r="C352" s="75"/>
      <c r="D352" s="76"/>
      <c r="E352" s="80"/>
      <c r="F352" s="79"/>
      <c r="G352" s="76"/>
      <c r="H352" s="54" t="str">
        <f aca="false">IF(OR(D352="",B352=""),"",IF(F352&lt;&gt;"",F352,B352+IFERROR(INDEX(Suppliers!$Q$7:$Q$106,MATCH(D352,Suppliers!$B$7:$B$106,0)),Setup!$C$7)))</f>
        <v/>
      </c>
      <c r="I352" s="46" t="str">
        <f aca="false">IF(OR(D352="",C352=""),IF(D352="","",0),SUMIFS(Payments!$D$8:$D$507,Payments!$C$8:$C$507,D352,Payments!$F$8:$F$507,C352))</f>
        <v/>
      </c>
      <c r="J352" s="46" t="str">
        <f aca="false">IF(D352="","",MIN(P352,MAX(0,R352-Q352)))</f>
        <v/>
      </c>
      <c r="K352" s="47" t="str">
        <f aca="false">IF(D352="","",P352-J352)</f>
        <v/>
      </c>
      <c r="L352" s="55" t="str">
        <f aca="false">IF(OR(D352="",N(K352)&lt;=0,H352=""),"",MAX(0,Setup!$C$11-H352))</f>
        <v/>
      </c>
      <c r="M352" s="54" t="str">
        <f aca="false">IF(OR(D352="",B352=""),"",IF(IFERROR(INDEX(Suppliers!$S$7:$S$106,MATCH(D352,Suppliers!$B$7:$B$106,0)),"")="","–",B352+IFERROR(INDEX(Suppliers!$S$7:$S$106,MATCH(D352,Suppliers!$B$7:$B$106,0)),"")))</f>
        <v/>
      </c>
      <c r="N352" s="56" t="str">
        <f aca="false">IF(D352="","",IF(N(K352)&lt;=0,"Paid",IF(AND(ISNUMBER(M352),Setup!$C$11&gt;M352),"⚠ MSME late",IF(N(L352)&gt;0,"Overdue",IF(N(V352)&lt;=Setup!$C$9,"⚠ MSME due soon",IF(K352&lt;E352,"Part paid","Not due"))))))</f>
        <v/>
      </c>
      <c r="O352" s="50" t="str">
        <f aca="false">IF(AND(D352="",B352="",C352="",E352=""),"",IF(D352="","⚠ Pick supplier",IF(ISNA(MATCH(D352,Suppliers!$B$7:$B$106,0)),"⚠ Supplier not in list",IF(B352="","⚠ Enter bill date",IF(N(E352)&lt;=0,"⚠ Enter amount",IF(AND(C352&lt;&gt;"",COUNTIFS($D$8:$D$507,D352,$C$8:$C$507,C352)&gt;1),"⚠ Bill no. used twice",IF(N(I352)&gt;N(E352),"⚠ Paid more than bill","✔")))))))</f>
        <v/>
      </c>
      <c r="P352" s="9" t="n">
        <f aca="false">IF(D352="",0,MAX(0,N(E352)-N(I352)))</f>
        <v>0</v>
      </c>
      <c r="Q352" s="9" t="n">
        <f aca="false">IF(D352="",0,SUMIFS($P$8:$P$507,$D$8:$D$507,D352,$B$8:$B$507,"&lt;"&amp;B352)+SUMIFS($P$8:P351,$D$8:D351,D352,$B$8:B351,B352))</f>
        <v>0</v>
      </c>
      <c r="R352" s="9" t="n">
        <f aca="false">IF(D352="",0,IFERROR(INDEX(Suppliers!$R$7:$R$106,MATCH(D352,Suppliers!$B$7:$B$106,0)),0))</f>
        <v>0</v>
      </c>
      <c r="S352" s="9" t="str">
        <f aca="false">IF(N(K352)&gt;0,IF(H352="",99999,MIN(H352,IF(ISNUMBER(M352),M352,H352)))+ROW()/100000,"")</f>
        <v/>
      </c>
      <c r="U352" s="9" t="n">
        <f aca="false">IF(N(K352)&gt;0,N(L352),0)</f>
        <v>0</v>
      </c>
      <c r="V352" s="9" t="n">
        <f aca="false">IF(AND(N(K352)&gt;0,ISNUMBER(M352)),M352-Setup!$C$11,99999)</f>
        <v>99999</v>
      </c>
    </row>
    <row r="353" customFormat="false" ht="15" hidden="false" customHeight="false" outlineLevel="0" collapsed="false">
      <c r="A353" s="40" t="str">
        <f aca="false">IF(D353="","",ROW()-7)</f>
        <v/>
      </c>
      <c r="B353" s="79"/>
      <c r="C353" s="75"/>
      <c r="D353" s="76"/>
      <c r="E353" s="80"/>
      <c r="F353" s="79"/>
      <c r="G353" s="76"/>
      <c r="H353" s="54" t="str">
        <f aca="false">IF(OR(D353="",B353=""),"",IF(F353&lt;&gt;"",F353,B353+IFERROR(INDEX(Suppliers!$Q$7:$Q$106,MATCH(D353,Suppliers!$B$7:$B$106,0)),Setup!$C$7)))</f>
        <v/>
      </c>
      <c r="I353" s="46" t="str">
        <f aca="false">IF(OR(D353="",C353=""),IF(D353="","",0),SUMIFS(Payments!$D$8:$D$507,Payments!$C$8:$C$507,D353,Payments!$F$8:$F$507,C353))</f>
        <v/>
      </c>
      <c r="J353" s="46" t="str">
        <f aca="false">IF(D353="","",MIN(P353,MAX(0,R353-Q353)))</f>
        <v/>
      </c>
      <c r="K353" s="47" t="str">
        <f aca="false">IF(D353="","",P353-J353)</f>
        <v/>
      </c>
      <c r="L353" s="55" t="str">
        <f aca="false">IF(OR(D353="",N(K353)&lt;=0,H353=""),"",MAX(0,Setup!$C$11-H353))</f>
        <v/>
      </c>
      <c r="M353" s="54" t="str">
        <f aca="false">IF(OR(D353="",B353=""),"",IF(IFERROR(INDEX(Suppliers!$S$7:$S$106,MATCH(D353,Suppliers!$B$7:$B$106,0)),"")="","–",B353+IFERROR(INDEX(Suppliers!$S$7:$S$106,MATCH(D353,Suppliers!$B$7:$B$106,0)),"")))</f>
        <v/>
      </c>
      <c r="N353" s="56" t="str">
        <f aca="false">IF(D353="","",IF(N(K353)&lt;=0,"Paid",IF(AND(ISNUMBER(M353),Setup!$C$11&gt;M353),"⚠ MSME late",IF(N(L353)&gt;0,"Overdue",IF(N(V353)&lt;=Setup!$C$9,"⚠ MSME due soon",IF(K353&lt;E353,"Part paid","Not due"))))))</f>
        <v/>
      </c>
      <c r="O353" s="50" t="str">
        <f aca="false">IF(AND(D353="",B353="",C353="",E353=""),"",IF(D353="","⚠ Pick supplier",IF(ISNA(MATCH(D353,Suppliers!$B$7:$B$106,0)),"⚠ Supplier not in list",IF(B353="","⚠ Enter bill date",IF(N(E353)&lt;=0,"⚠ Enter amount",IF(AND(C353&lt;&gt;"",COUNTIFS($D$8:$D$507,D353,$C$8:$C$507,C353)&gt;1),"⚠ Bill no. used twice",IF(N(I353)&gt;N(E353),"⚠ Paid more than bill","✔")))))))</f>
        <v/>
      </c>
      <c r="P353" s="9" t="n">
        <f aca="false">IF(D353="",0,MAX(0,N(E353)-N(I353)))</f>
        <v>0</v>
      </c>
      <c r="Q353" s="9" t="n">
        <f aca="false">IF(D353="",0,SUMIFS($P$8:$P$507,$D$8:$D$507,D353,$B$8:$B$507,"&lt;"&amp;B353)+SUMIFS($P$8:P352,$D$8:D352,D353,$B$8:B352,B353))</f>
        <v>0</v>
      </c>
      <c r="R353" s="9" t="n">
        <f aca="false">IF(D353="",0,IFERROR(INDEX(Suppliers!$R$7:$R$106,MATCH(D353,Suppliers!$B$7:$B$106,0)),0))</f>
        <v>0</v>
      </c>
      <c r="S353" s="9" t="str">
        <f aca="false">IF(N(K353)&gt;0,IF(H353="",99999,MIN(H353,IF(ISNUMBER(M353),M353,H353)))+ROW()/100000,"")</f>
        <v/>
      </c>
      <c r="U353" s="9" t="n">
        <f aca="false">IF(N(K353)&gt;0,N(L353),0)</f>
        <v>0</v>
      </c>
      <c r="V353" s="9" t="n">
        <f aca="false">IF(AND(N(K353)&gt;0,ISNUMBER(M353)),M353-Setup!$C$11,99999)</f>
        <v>99999</v>
      </c>
    </row>
    <row r="354" customFormat="false" ht="15" hidden="false" customHeight="false" outlineLevel="0" collapsed="false">
      <c r="A354" s="40" t="str">
        <f aca="false">IF(D354="","",ROW()-7)</f>
        <v/>
      </c>
      <c r="B354" s="79"/>
      <c r="C354" s="75"/>
      <c r="D354" s="76"/>
      <c r="E354" s="80"/>
      <c r="F354" s="79"/>
      <c r="G354" s="76"/>
      <c r="H354" s="54" t="str">
        <f aca="false">IF(OR(D354="",B354=""),"",IF(F354&lt;&gt;"",F354,B354+IFERROR(INDEX(Suppliers!$Q$7:$Q$106,MATCH(D354,Suppliers!$B$7:$B$106,0)),Setup!$C$7)))</f>
        <v/>
      </c>
      <c r="I354" s="46" t="str">
        <f aca="false">IF(OR(D354="",C354=""),IF(D354="","",0),SUMIFS(Payments!$D$8:$D$507,Payments!$C$8:$C$507,D354,Payments!$F$8:$F$507,C354))</f>
        <v/>
      </c>
      <c r="J354" s="46" t="str">
        <f aca="false">IF(D354="","",MIN(P354,MAX(0,R354-Q354)))</f>
        <v/>
      </c>
      <c r="K354" s="47" t="str">
        <f aca="false">IF(D354="","",P354-J354)</f>
        <v/>
      </c>
      <c r="L354" s="55" t="str">
        <f aca="false">IF(OR(D354="",N(K354)&lt;=0,H354=""),"",MAX(0,Setup!$C$11-H354))</f>
        <v/>
      </c>
      <c r="M354" s="54" t="str">
        <f aca="false">IF(OR(D354="",B354=""),"",IF(IFERROR(INDEX(Suppliers!$S$7:$S$106,MATCH(D354,Suppliers!$B$7:$B$106,0)),"")="","–",B354+IFERROR(INDEX(Suppliers!$S$7:$S$106,MATCH(D354,Suppliers!$B$7:$B$106,0)),"")))</f>
        <v/>
      </c>
      <c r="N354" s="56" t="str">
        <f aca="false">IF(D354="","",IF(N(K354)&lt;=0,"Paid",IF(AND(ISNUMBER(M354),Setup!$C$11&gt;M354),"⚠ MSME late",IF(N(L354)&gt;0,"Overdue",IF(N(V354)&lt;=Setup!$C$9,"⚠ MSME due soon",IF(K354&lt;E354,"Part paid","Not due"))))))</f>
        <v/>
      </c>
      <c r="O354" s="50" t="str">
        <f aca="false">IF(AND(D354="",B354="",C354="",E354=""),"",IF(D354="","⚠ Pick supplier",IF(ISNA(MATCH(D354,Suppliers!$B$7:$B$106,0)),"⚠ Supplier not in list",IF(B354="","⚠ Enter bill date",IF(N(E354)&lt;=0,"⚠ Enter amount",IF(AND(C354&lt;&gt;"",COUNTIFS($D$8:$D$507,D354,$C$8:$C$507,C354)&gt;1),"⚠ Bill no. used twice",IF(N(I354)&gt;N(E354),"⚠ Paid more than bill","✔")))))))</f>
        <v/>
      </c>
      <c r="P354" s="9" t="n">
        <f aca="false">IF(D354="",0,MAX(0,N(E354)-N(I354)))</f>
        <v>0</v>
      </c>
      <c r="Q354" s="9" t="n">
        <f aca="false">IF(D354="",0,SUMIFS($P$8:$P$507,$D$8:$D$507,D354,$B$8:$B$507,"&lt;"&amp;B354)+SUMIFS($P$8:P353,$D$8:D353,D354,$B$8:B353,B354))</f>
        <v>0</v>
      </c>
      <c r="R354" s="9" t="n">
        <f aca="false">IF(D354="",0,IFERROR(INDEX(Suppliers!$R$7:$R$106,MATCH(D354,Suppliers!$B$7:$B$106,0)),0))</f>
        <v>0</v>
      </c>
      <c r="S354" s="9" t="str">
        <f aca="false">IF(N(K354)&gt;0,IF(H354="",99999,MIN(H354,IF(ISNUMBER(M354),M354,H354)))+ROW()/100000,"")</f>
        <v/>
      </c>
      <c r="U354" s="9" t="n">
        <f aca="false">IF(N(K354)&gt;0,N(L354),0)</f>
        <v>0</v>
      </c>
      <c r="V354" s="9" t="n">
        <f aca="false">IF(AND(N(K354)&gt;0,ISNUMBER(M354)),M354-Setup!$C$11,99999)</f>
        <v>99999</v>
      </c>
    </row>
    <row r="355" customFormat="false" ht="15" hidden="false" customHeight="false" outlineLevel="0" collapsed="false">
      <c r="A355" s="40" t="str">
        <f aca="false">IF(D355="","",ROW()-7)</f>
        <v/>
      </c>
      <c r="B355" s="79"/>
      <c r="C355" s="75"/>
      <c r="D355" s="76"/>
      <c r="E355" s="80"/>
      <c r="F355" s="79"/>
      <c r="G355" s="76"/>
      <c r="H355" s="54" t="str">
        <f aca="false">IF(OR(D355="",B355=""),"",IF(F355&lt;&gt;"",F355,B355+IFERROR(INDEX(Suppliers!$Q$7:$Q$106,MATCH(D355,Suppliers!$B$7:$B$106,0)),Setup!$C$7)))</f>
        <v/>
      </c>
      <c r="I355" s="46" t="str">
        <f aca="false">IF(OR(D355="",C355=""),IF(D355="","",0),SUMIFS(Payments!$D$8:$D$507,Payments!$C$8:$C$507,D355,Payments!$F$8:$F$507,C355))</f>
        <v/>
      </c>
      <c r="J355" s="46" t="str">
        <f aca="false">IF(D355="","",MIN(P355,MAX(0,R355-Q355)))</f>
        <v/>
      </c>
      <c r="K355" s="47" t="str">
        <f aca="false">IF(D355="","",P355-J355)</f>
        <v/>
      </c>
      <c r="L355" s="55" t="str">
        <f aca="false">IF(OR(D355="",N(K355)&lt;=0,H355=""),"",MAX(0,Setup!$C$11-H355))</f>
        <v/>
      </c>
      <c r="M355" s="54" t="str">
        <f aca="false">IF(OR(D355="",B355=""),"",IF(IFERROR(INDEX(Suppliers!$S$7:$S$106,MATCH(D355,Suppliers!$B$7:$B$106,0)),"")="","–",B355+IFERROR(INDEX(Suppliers!$S$7:$S$106,MATCH(D355,Suppliers!$B$7:$B$106,0)),"")))</f>
        <v/>
      </c>
      <c r="N355" s="56" t="str">
        <f aca="false">IF(D355="","",IF(N(K355)&lt;=0,"Paid",IF(AND(ISNUMBER(M355),Setup!$C$11&gt;M355),"⚠ MSME late",IF(N(L355)&gt;0,"Overdue",IF(N(V355)&lt;=Setup!$C$9,"⚠ MSME due soon",IF(K355&lt;E355,"Part paid","Not due"))))))</f>
        <v/>
      </c>
      <c r="O355" s="50" t="str">
        <f aca="false">IF(AND(D355="",B355="",C355="",E355=""),"",IF(D355="","⚠ Pick supplier",IF(ISNA(MATCH(D355,Suppliers!$B$7:$B$106,0)),"⚠ Supplier not in list",IF(B355="","⚠ Enter bill date",IF(N(E355)&lt;=0,"⚠ Enter amount",IF(AND(C355&lt;&gt;"",COUNTIFS($D$8:$D$507,D355,$C$8:$C$507,C355)&gt;1),"⚠ Bill no. used twice",IF(N(I355)&gt;N(E355),"⚠ Paid more than bill","✔")))))))</f>
        <v/>
      </c>
      <c r="P355" s="9" t="n">
        <f aca="false">IF(D355="",0,MAX(0,N(E355)-N(I355)))</f>
        <v>0</v>
      </c>
      <c r="Q355" s="9" t="n">
        <f aca="false">IF(D355="",0,SUMIFS($P$8:$P$507,$D$8:$D$507,D355,$B$8:$B$507,"&lt;"&amp;B355)+SUMIFS($P$8:P354,$D$8:D354,D355,$B$8:B354,B355))</f>
        <v>0</v>
      </c>
      <c r="R355" s="9" t="n">
        <f aca="false">IF(D355="",0,IFERROR(INDEX(Suppliers!$R$7:$R$106,MATCH(D355,Suppliers!$B$7:$B$106,0)),0))</f>
        <v>0</v>
      </c>
      <c r="S355" s="9" t="str">
        <f aca="false">IF(N(K355)&gt;0,IF(H355="",99999,MIN(H355,IF(ISNUMBER(M355),M355,H355)))+ROW()/100000,"")</f>
        <v/>
      </c>
      <c r="U355" s="9" t="n">
        <f aca="false">IF(N(K355)&gt;0,N(L355),0)</f>
        <v>0</v>
      </c>
      <c r="V355" s="9" t="n">
        <f aca="false">IF(AND(N(K355)&gt;0,ISNUMBER(M355)),M355-Setup!$C$11,99999)</f>
        <v>99999</v>
      </c>
    </row>
    <row r="356" customFormat="false" ht="15" hidden="false" customHeight="false" outlineLevel="0" collapsed="false">
      <c r="A356" s="40" t="str">
        <f aca="false">IF(D356="","",ROW()-7)</f>
        <v/>
      </c>
      <c r="B356" s="79"/>
      <c r="C356" s="75"/>
      <c r="D356" s="76"/>
      <c r="E356" s="80"/>
      <c r="F356" s="79"/>
      <c r="G356" s="76"/>
      <c r="H356" s="54" t="str">
        <f aca="false">IF(OR(D356="",B356=""),"",IF(F356&lt;&gt;"",F356,B356+IFERROR(INDEX(Suppliers!$Q$7:$Q$106,MATCH(D356,Suppliers!$B$7:$B$106,0)),Setup!$C$7)))</f>
        <v/>
      </c>
      <c r="I356" s="46" t="str">
        <f aca="false">IF(OR(D356="",C356=""),IF(D356="","",0),SUMIFS(Payments!$D$8:$D$507,Payments!$C$8:$C$507,D356,Payments!$F$8:$F$507,C356))</f>
        <v/>
      </c>
      <c r="J356" s="46" t="str">
        <f aca="false">IF(D356="","",MIN(P356,MAX(0,R356-Q356)))</f>
        <v/>
      </c>
      <c r="K356" s="47" t="str">
        <f aca="false">IF(D356="","",P356-J356)</f>
        <v/>
      </c>
      <c r="L356" s="55" t="str">
        <f aca="false">IF(OR(D356="",N(K356)&lt;=0,H356=""),"",MAX(0,Setup!$C$11-H356))</f>
        <v/>
      </c>
      <c r="M356" s="54" t="str">
        <f aca="false">IF(OR(D356="",B356=""),"",IF(IFERROR(INDEX(Suppliers!$S$7:$S$106,MATCH(D356,Suppliers!$B$7:$B$106,0)),"")="","–",B356+IFERROR(INDEX(Suppliers!$S$7:$S$106,MATCH(D356,Suppliers!$B$7:$B$106,0)),"")))</f>
        <v/>
      </c>
      <c r="N356" s="56" t="str">
        <f aca="false">IF(D356="","",IF(N(K356)&lt;=0,"Paid",IF(AND(ISNUMBER(M356),Setup!$C$11&gt;M356),"⚠ MSME late",IF(N(L356)&gt;0,"Overdue",IF(N(V356)&lt;=Setup!$C$9,"⚠ MSME due soon",IF(K356&lt;E356,"Part paid","Not due"))))))</f>
        <v/>
      </c>
      <c r="O356" s="50" t="str">
        <f aca="false">IF(AND(D356="",B356="",C356="",E356=""),"",IF(D356="","⚠ Pick supplier",IF(ISNA(MATCH(D356,Suppliers!$B$7:$B$106,0)),"⚠ Supplier not in list",IF(B356="","⚠ Enter bill date",IF(N(E356)&lt;=0,"⚠ Enter amount",IF(AND(C356&lt;&gt;"",COUNTIFS($D$8:$D$507,D356,$C$8:$C$507,C356)&gt;1),"⚠ Bill no. used twice",IF(N(I356)&gt;N(E356),"⚠ Paid more than bill","✔")))))))</f>
        <v/>
      </c>
      <c r="P356" s="9" t="n">
        <f aca="false">IF(D356="",0,MAX(0,N(E356)-N(I356)))</f>
        <v>0</v>
      </c>
      <c r="Q356" s="9" t="n">
        <f aca="false">IF(D356="",0,SUMIFS($P$8:$P$507,$D$8:$D$507,D356,$B$8:$B$507,"&lt;"&amp;B356)+SUMIFS($P$8:P355,$D$8:D355,D356,$B$8:B355,B356))</f>
        <v>0</v>
      </c>
      <c r="R356" s="9" t="n">
        <f aca="false">IF(D356="",0,IFERROR(INDEX(Suppliers!$R$7:$R$106,MATCH(D356,Suppliers!$B$7:$B$106,0)),0))</f>
        <v>0</v>
      </c>
      <c r="S356" s="9" t="str">
        <f aca="false">IF(N(K356)&gt;0,IF(H356="",99999,MIN(H356,IF(ISNUMBER(M356),M356,H356)))+ROW()/100000,"")</f>
        <v/>
      </c>
      <c r="U356" s="9" t="n">
        <f aca="false">IF(N(K356)&gt;0,N(L356),0)</f>
        <v>0</v>
      </c>
      <c r="V356" s="9" t="n">
        <f aca="false">IF(AND(N(K356)&gt;0,ISNUMBER(M356)),M356-Setup!$C$11,99999)</f>
        <v>99999</v>
      </c>
    </row>
    <row r="357" customFormat="false" ht="15" hidden="false" customHeight="false" outlineLevel="0" collapsed="false">
      <c r="A357" s="40" t="str">
        <f aca="false">IF(D357="","",ROW()-7)</f>
        <v/>
      </c>
      <c r="B357" s="79"/>
      <c r="C357" s="75"/>
      <c r="D357" s="76"/>
      <c r="E357" s="80"/>
      <c r="F357" s="79"/>
      <c r="G357" s="76"/>
      <c r="H357" s="54" t="str">
        <f aca="false">IF(OR(D357="",B357=""),"",IF(F357&lt;&gt;"",F357,B357+IFERROR(INDEX(Suppliers!$Q$7:$Q$106,MATCH(D357,Suppliers!$B$7:$B$106,0)),Setup!$C$7)))</f>
        <v/>
      </c>
      <c r="I357" s="46" t="str">
        <f aca="false">IF(OR(D357="",C357=""),IF(D357="","",0),SUMIFS(Payments!$D$8:$D$507,Payments!$C$8:$C$507,D357,Payments!$F$8:$F$507,C357))</f>
        <v/>
      </c>
      <c r="J357" s="46" t="str">
        <f aca="false">IF(D357="","",MIN(P357,MAX(0,R357-Q357)))</f>
        <v/>
      </c>
      <c r="K357" s="47" t="str">
        <f aca="false">IF(D357="","",P357-J357)</f>
        <v/>
      </c>
      <c r="L357" s="55" t="str">
        <f aca="false">IF(OR(D357="",N(K357)&lt;=0,H357=""),"",MAX(0,Setup!$C$11-H357))</f>
        <v/>
      </c>
      <c r="M357" s="54" t="str">
        <f aca="false">IF(OR(D357="",B357=""),"",IF(IFERROR(INDEX(Suppliers!$S$7:$S$106,MATCH(D357,Suppliers!$B$7:$B$106,0)),"")="","–",B357+IFERROR(INDEX(Suppliers!$S$7:$S$106,MATCH(D357,Suppliers!$B$7:$B$106,0)),"")))</f>
        <v/>
      </c>
      <c r="N357" s="56" t="str">
        <f aca="false">IF(D357="","",IF(N(K357)&lt;=0,"Paid",IF(AND(ISNUMBER(M357),Setup!$C$11&gt;M357),"⚠ MSME late",IF(N(L357)&gt;0,"Overdue",IF(N(V357)&lt;=Setup!$C$9,"⚠ MSME due soon",IF(K357&lt;E357,"Part paid","Not due"))))))</f>
        <v/>
      </c>
      <c r="O357" s="50" t="str">
        <f aca="false">IF(AND(D357="",B357="",C357="",E357=""),"",IF(D357="","⚠ Pick supplier",IF(ISNA(MATCH(D357,Suppliers!$B$7:$B$106,0)),"⚠ Supplier not in list",IF(B357="","⚠ Enter bill date",IF(N(E357)&lt;=0,"⚠ Enter amount",IF(AND(C357&lt;&gt;"",COUNTIFS($D$8:$D$507,D357,$C$8:$C$507,C357)&gt;1),"⚠ Bill no. used twice",IF(N(I357)&gt;N(E357),"⚠ Paid more than bill","✔")))))))</f>
        <v/>
      </c>
      <c r="P357" s="9" t="n">
        <f aca="false">IF(D357="",0,MAX(0,N(E357)-N(I357)))</f>
        <v>0</v>
      </c>
      <c r="Q357" s="9" t="n">
        <f aca="false">IF(D357="",0,SUMIFS($P$8:$P$507,$D$8:$D$507,D357,$B$8:$B$507,"&lt;"&amp;B357)+SUMIFS($P$8:P356,$D$8:D356,D357,$B$8:B356,B357))</f>
        <v>0</v>
      </c>
      <c r="R357" s="9" t="n">
        <f aca="false">IF(D357="",0,IFERROR(INDEX(Suppliers!$R$7:$R$106,MATCH(D357,Suppliers!$B$7:$B$106,0)),0))</f>
        <v>0</v>
      </c>
      <c r="S357" s="9" t="str">
        <f aca="false">IF(N(K357)&gt;0,IF(H357="",99999,MIN(H357,IF(ISNUMBER(M357),M357,H357)))+ROW()/100000,"")</f>
        <v/>
      </c>
      <c r="U357" s="9" t="n">
        <f aca="false">IF(N(K357)&gt;0,N(L357),0)</f>
        <v>0</v>
      </c>
      <c r="V357" s="9" t="n">
        <f aca="false">IF(AND(N(K357)&gt;0,ISNUMBER(M357)),M357-Setup!$C$11,99999)</f>
        <v>99999</v>
      </c>
    </row>
    <row r="358" customFormat="false" ht="15" hidden="false" customHeight="false" outlineLevel="0" collapsed="false">
      <c r="A358" s="40" t="str">
        <f aca="false">IF(D358="","",ROW()-7)</f>
        <v/>
      </c>
      <c r="B358" s="79"/>
      <c r="C358" s="75"/>
      <c r="D358" s="76"/>
      <c r="E358" s="80"/>
      <c r="F358" s="79"/>
      <c r="G358" s="76"/>
      <c r="H358" s="54" t="str">
        <f aca="false">IF(OR(D358="",B358=""),"",IF(F358&lt;&gt;"",F358,B358+IFERROR(INDEX(Suppliers!$Q$7:$Q$106,MATCH(D358,Suppliers!$B$7:$B$106,0)),Setup!$C$7)))</f>
        <v/>
      </c>
      <c r="I358" s="46" t="str">
        <f aca="false">IF(OR(D358="",C358=""),IF(D358="","",0),SUMIFS(Payments!$D$8:$D$507,Payments!$C$8:$C$507,D358,Payments!$F$8:$F$507,C358))</f>
        <v/>
      </c>
      <c r="J358" s="46" t="str">
        <f aca="false">IF(D358="","",MIN(P358,MAX(0,R358-Q358)))</f>
        <v/>
      </c>
      <c r="K358" s="47" t="str">
        <f aca="false">IF(D358="","",P358-J358)</f>
        <v/>
      </c>
      <c r="L358" s="55" t="str">
        <f aca="false">IF(OR(D358="",N(K358)&lt;=0,H358=""),"",MAX(0,Setup!$C$11-H358))</f>
        <v/>
      </c>
      <c r="M358" s="54" t="str">
        <f aca="false">IF(OR(D358="",B358=""),"",IF(IFERROR(INDEX(Suppliers!$S$7:$S$106,MATCH(D358,Suppliers!$B$7:$B$106,0)),"")="","–",B358+IFERROR(INDEX(Suppliers!$S$7:$S$106,MATCH(D358,Suppliers!$B$7:$B$106,0)),"")))</f>
        <v/>
      </c>
      <c r="N358" s="56" t="str">
        <f aca="false">IF(D358="","",IF(N(K358)&lt;=0,"Paid",IF(AND(ISNUMBER(M358),Setup!$C$11&gt;M358),"⚠ MSME late",IF(N(L358)&gt;0,"Overdue",IF(N(V358)&lt;=Setup!$C$9,"⚠ MSME due soon",IF(K358&lt;E358,"Part paid","Not due"))))))</f>
        <v/>
      </c>
      <c r="O358" s="50" t="str">
        <f aca="false">IF(AND(D358="",B358="",C358="",E358=""),"",IF(D358="","⚠ Pick supplier",IF(ISNA(MATCH(D358,Suppliers!$B$7:$B$106,0)),"⚠ Supplier not in list",IF(B358="","⚠ Enter bill date",IF(N(E358)&lt;=0,"⚠ Enter amount",IF(AND(C358&lt;&gt;"",COUNTIFS($D$8:$D$507,D358,$C$8:$C$507,C358)&gt;1),"⚠ Bill no. used twice",IF(N(I358)&gt;N(E358),"⚠ Paid more than bill","✔")))))))</f>
        <v/>
      </c>
      <c r="P358" s="9" t="n">
        <f aca="false">IF(D358="",0,MAX(0,N(E358)-N(I358)))</f>
        <v>0</v>
      </c>
      <c r="Q358" s="9" t="n">
        <f aca="false">IF(D358="",0,SUMIFS($P$8:$P$507,$D$8:$D$507,D358,$B$8:$B$507,"&lt;"&amp;B358)+SUMIFS($P$8:P357,$D$8:D357,D358,$B$8:B357,B358))</f>
        <v>0</v>
      </c>
      <c r="R358" s="9" t="n">
        <f aca="false">IF(D358="",0,IFERROR(INDEX(Suppliers!$R$7:$R$106,MATCH(D358,Suppliers!$B$7:$B$106,0)),0))</f>
        <v>0</v>
      </c>
      <c r="S358" s="9" t="str">
        <f aca="false">IF(N(K358)&gt;0,IF(H358="",99999,MIN(H358,IF(ISNUMBER(M358),M358,H358)))+ROW()/100000,"")</f>
        <v/>
      </c>
      <c r="U358" s="9" t="n">
        <f aca="false">IF(N(K358)&gt;0,N(L358),0)</f>
        <v>0</v>
      </c>
      <c r="V358" s="9" t="n">
        <f aca="false">IF(AND(N(K358)&gt;0,ISNUMBER(M358)),M358-Setup!$C$11,99999)</f>
        <v>99999</v>
      </c>
    </row>
    <row r="359" customFormat="false" ht="15" hidden="false" customHeight="false" outlineLevel="0" collapsed="false">
      <c r="A359" s="40" t="str">
        <f aca="false">IF(D359="","",ROW()-7)</f>
        <v/>
      </c>
      <c r="B359" s="79"/>
      <c r="C359" s="75"/>
      <c r="D359" s="76"/>
      <c r="E359" s="80"/>
      <c r="F359" s="79"/>
      <c r="G359" s="76"/>
      <c r="H359" s="54" t="str">
        <f aca="false">IF(OR(D359="",B359=""),"",IF(F359&lt;&gt;"",F359,B359+IFERROR(INDEX(Suppliers!$Q$7:$Q$106,MATCH(D359,Suppliers!$B$7:$B$106,0)),Setup!$C$7)))</f>
        <v/>
      </c>
      <c r="I359" s="46" t="str">
        <f aca="false">IF(OR(D359="",C359=""),IF(D359="","",0),SUMIFS(Payments!$D$8:$D$507,Payments!$C$8:$C$507,D359,Payments!$F$8:$F$507,C359))</f>
        <v/>
      </c>
      <c r="J359" s="46" t="str">
        <f aca="false">IF(D359="","",MIN(P359,MAX(0,R359-Q359)))</f>
        <v/>
      </c>
      <c r="K359" s="47" t="str">
        <f aca="false">IF(D359="","",P359-J359)</f>
        <v/>
      </c>
      <c r="L359" s="55" t="str">
        <f aca="false">IF(OR(D359="",N(K359)&lt;=0,H359=""),"",MAX(0,Setup!$C$11-H359))</f>
        <v/>
      </c>
      <c r="M359" s="54" t="str">
        <f aca="false">IF(OR(D359="",B359=""),"",IF(IFERROR(INDEX(Suppliers!$S$7:$S$106,MATCH(D359,Suppliers!$B$7:$B$106,0)),"")="","–",B359+IFERROR(INDEX(Suppliers!$S$7:$S$106,MATCH(D359,Suppliers!$B$7:$B$106,0)),"")))</f>
        <v/>
      </c>
      <c r="N359" s="56" t="str">
        <f aca="false">IF(D359="","",IF(N(K359)&lt;=0,"Paid",IF(AND(ISNUMBER(M359),Setup!$C$11&gt;M359),"⚠ MSME late",IF(N(L359)&gt;0,"Overdue",IF(N(V359)&lt;=Setup!$C$9,"⚠ MSME due soon",IF(K359&lt;E359,"Part paid","Not due"))))))</f>
        <v/>
      </c>
      <c r="O359" s="50" t="str">
        <f aca="false">IF(AND(D359="",B359="",C359="",E359=""),"",IF(D359="","⚠ Pick supplier",IF(ISNA(MATCH(D359,Suppliers!$B$7:$B$106,0)),"⚠ Supplier not in list",IF(B359="","⚠ Enter bill date",IF(N(E359)&lt;=0,"⚠ Enter amount",IF(AND(C359&lt;&gt;"",COUNTIFS($D$8:$D$507,D359,$C$8:$C$507,C359)&gt;1),"⚠ Bill no. used twice",IF(N(I359)&gt;N(E359),"⚠ Paid more than bill","✔")))))))</f>
        <v/>
      </c>
      <c r="P359" s="9" t="n">
        <f aca="false">IF(D359="",0,MAX(0,N(E359)-N(I359)))</f>
        <v>0</v>
      </c>
      <c r="Q359" s="9" t="n">
        <f aca="false">IF(D359="",0,SUMIFS($P$8:$P$507,$D$8:$D$507,D359,$B$8:$B$507,"&lt;"&amp;B359)+SUMIFS($P$8:P358,$D$8:D358,D359,$B$8:B358,B359))</f>
        <v>0</v>
      </c>
      <c r="R359" s="9" t="n">
        <f aca="false">IF(D359="",0,IFERROR(INDEX(Suppliers!$R$7:$R$106,MATCH(D359,Suppliers!$B$7:$B$106,0)),0))</f>
        <v>0</v>
      </c>
      <c r="S359" s="9" t="str">
        <f aca="false">IF(N(K359)&gt;0,IF(H359="",99999,MIN(H359,IF(ISNUMBER(M359),M359,H359)))+ROW()/100000,"")</f>
        <v/>
      </c>
      <c r="U359" s="9" t="n">
        <f aca="false">IF(N(K359)&gt;0,N(L359),0)</f>
        <v>0</v>
      </c>
      <c r="V359" s="9" t="n">
        <f aca="false">IF(AND(N(K359)&gt;0,ISNUMBER(M359)),M359-Setup!$C$11,99999)</f>
        <v>99999</v>
      </c>
    </row>
    <row r="360" customFormat="false" ht="15" hidden="false" customHeight="false" outlineLevel="0" collapsed="false">
      <c r="A360" s="40" t="str">
        <f aca="false">IF(D360="","",ROW()-7)</f>
        <v/>
      </c>
      <c r="B360" s="79"/>
      <c r="C360" s="75"/>
      <c r="D360" s="76"/>
      <c r="E360" s="80"/>
      <c r="F360" s="79"/>
      <c r="G360" s="76"/>
      <c r="H360" s="54" t="str">
        <f aca="false">IF(OR(D360="",B360=""),"",IF(F360&lt;&gt;"",F360,B360+IFERROR(INDEX(Suppliers!$Q$7:$Q$106,MATCH(D360,Suppliers!$B$7:$B$106,0)),Setup!$C$7)))</f>
        <v/>
      </c>
      <c r="I360" s="46" t="str">
        <f aca="false">IF(OR(D360="",C360=""),IF(D360="","",0),SUMIFS(Payments!$D$8:$D$507,Payments!$C$8:$C$507,D360,Payments!$F$8:$F$507,C360))</f>
        <v/>
      </c>
      <c r="J360" s="46" t="str">
        <f aca="false">IF(D360="","",MIN(P360,MAX(0,R360-Q360)))</f>
        <v/>
      </c>
      <c r="K360" s="47" t="str">
        <f aca="false">IF(D360="","",P360-J360)</f>
        <v/>
      </c>
      <c r="L360" s="55" t="str">
        <f aca="false">IF(OR(D360="",N(K360)&lt;=0,H360=""),"",MAX(0,Setup!$C$11-H360))</f>
        <v/>
      </c>
      <c r="M360" s="54" t="str">
        <f aca="false">IF(OR(D360="",B360=""),"",IF(IFERROR(INDEX(Suppliers!$S$7:$S$106,MATCH(D360,Suppliers!$B$7:$B$106,0)),"")="","–",B360+IFERROR(INDEX(Suppliers!$S$7:$S$106,MATCH(D360,Suppliers!$B$7:$B$106,0)),"")))</f>
        <v/>
      </c>
      <c r="N360" s="56" t="str">
        <f aca="false">IF(D360="","",IF(N(K360)&lt;=0,"Paid",IF(AND(ISNUMBER(M360),Setup!$C$11&gt;M360),"⚠ MSME late",IF(N(L360)&gt;0,"Overdue",IF(N(V360)&lt;=Setup!$C$9,"⚠ MSME due soon",IF(K360&lt;E360,"Part paid","Not due"))))))</f>
        <v/>
      </c>
      <c r="O360" s="50" t="str">
        <f aca="false">IF(AND(D360="",B360="",C360="",E360=""),"",IF(D360="","⚠ Pick supplier",IF(ISNA(MATCH(D360,Suppliers!$B$7:$B$106,0)),"⚠ Supplier not in list",IF(B360="","⚠ Enter bill date",IF(N(E360)&lt;=0,"⚠ Enter amount",IF(AND(C360&lt;&gt;"",COUNTIFS($D$8:$D$507,D360,$C$8:$C$507,C360)&gt;1),"⚠ Bill no. used twice",IF(N(I360)&gt;N(E360),"⚠ Paid more than bill","✔")))))))</f>
        <v/>
      </c>
      <c r="P360" s="9" t="n">
        <f aca="false">IF(D360="",0,MAX(0,N(E360)-N(I360)))</f>
        <v>0</v>
      </c>
      <c r="Q360" s="9" t="n">
        <f aca="false">IF(D360="",0,SUMIFS($P$8:$P$507,$D$8:$D$507,D360,$B$8:$B$507,"&lt;"&amp;B360)+SUMIFS($P$8:P359,$D$8:D359,D360,$B$8:B359,B360))</f>
        <v>0</v>
      </c>
      <c r="R360" s="9" t="n">
        <f aca="false">IF(D360="",0,IFERROR(INDEX(Suppliers!$R$7:$R$106,MATCH(D360,Suppliers!$B$7:$B$106,0)),0))</f>
        <v>0</v>
      </c>
      <c r="S360" s="9" t="str">
        <f aca="false">IF(N(K360)&gt;0,IF(H360="",99999,MIN(H360,IF(ISNUMBER(M360),M360,H360)))+ROW()/100000,"")</f>
        <v/>
      </c>
      <c r="U360" s="9" t="n">
        <f aca="false">IF(N(K360)&gt;0,N(L360),0)</f>
        <v>0</v>
      </c>
      <c r="V360" s="9" t="n">
        <f aca="false">IF(AND(N(K360)&gt;0,ISNUMBER(M360)),M360-Setup!$C$11,99999)</f>
        <v>99999</v>
      </c>
    </row>
    <row r="361" customFormat="false" ht="15" hidden="false" customHeight="false" outlineLevel="0" collapsed="false">
      <c r="A361" s="40" t="str">
        <f aca="false">IF(D361="","",ROW()-7)</f>
        <v/>
      </c>
      <c r="B361" s="79"/>
      <c r="C361" s="75"/>
      <c r="D361" s="76"/>
      <c r="E361" s="80"/>
      <c r="F361" s="79"/>
      <c r="G361" s="76"/>
      <c r="H361" s="54" t="str">
        <f aca="false">IF(OR(D361="",B361=""),"",IF(F361&lt;&gt;"",F361,B361+IFERROR(INDEX(Suppliers!$Q$7:$Q$106,MATCH(D361,Suppliers!$B$7:$B$106,0)),Setup!$C$7)))</f>
        <v/>
      </c>
      <c r="I361" s="46" t="str">
        <f aca="false">IF(OR(D361="",C361=""),IF(D361="","",0),SUMIFS(Payments!$D$8:$D$507,Payments!$C$8:$C$507,D361,Payments!$F$8:$F$507,C361))</f>
        <v/>
      </c>
      <c r="J361" s="46" t="str">
        <f aca="false">IF(D361="","",MIN(P361,MAX(0,R361-Q361)))</f>
        <v/>
      </c>
      <c r="K361" s="47" t="str">
        <f aca="false">IF(D361="","",P361-J361)</f>
        <v/>
      </c>
      <c r="L361" s="55" t="str">
        <f aca="false">IF(OR(D361="",N(K361)&lt;=0,H361=""),"",MAX(0,Setup!$C$11-H361))</f>
        <v/>
      </c>
      <c r="M361" s="54" t="str">
        <f aca="false">IF(OR(D361="",B361=""),"",IF(IFERROR(INDEX(Suppliers!$S$7:$S$106,MATCH(D361,Suppliers!$B$7:$B$106,0)),"")="","–",B361+IFERROR(INDEX(Suppliers!$S$7:$S$106,MATCH(D361,Suppliers!$B$7:$B$106,0)),"")))</f>
        <v/>
      </c>
      <c r="N361" s="56" t="str">
        <f aca="false">IF(D361="","",IF(N(K361)&lt;=0,"Paid",IF(AND(ISNUMBER(M361),Setup!$C$11&gt;M361),"⚠ MSME late",IF(N(L361)&gt;0,"Overdue",IF(N(V361)&lt;=Setup!$C$9,"⚠ MSME due soon",IF(K361&lt;E361,"Part paid","Not due"))))))</f>
        <v/>
      </c>
      <c r="O361" s="50" t="str">
        <f aca="false">IF(AND(D361="",B361="",C361="",E361=""),"",IF(D361="","⚠ Pick supplier",IF(ISNA(MATCH(D361,Suppliers!$B$7:$B$106,0)),"⚠ Supplier not in list",IF(B361="","⚠ Enter bill date",IF(N(E361)&lt;=0,"⚠ Enter amount",IF(AND(C361&lt;&gt;"",COUNTIFS($D$8:$D$507,D361,$C$8:$C$507,C361)&gt;1),"⚠ Bill no. used twice",IF(N(I361)&gt;N(E361),"⚠ Paid more than bill","✔")))))))</f>
        <v/>
      </c>
      <c r="P361" s="9" t="n">
        <f aca="false">IF(D361="",0,MAX(0,N(E361)-N(I361)))</f>
        <v>0</v>
      </c>
      <c r="Q361" s="9" t="n">
        <f aca="false">IF(D361="",0,SUMIFS($P$8:$P$507,$D$8:$D$507,D361,$B$8:$B$507,"&lt;"&amp;B361)+SUMIFS($P$8:P360,$D$8:D360,D361,$B$8:B360,B361))</f>
        <v>0</v>
      </c>
      <c r="R361" s="9" t="n">
        <f aca="false">IF(D361="",0,IFERROR(INDEX(Suppliers!$R$7:$R$106,MATCH(D361,Suppliers!$B$7:$B$106,0)),0))</f>
        <v>0</v>
      </c>
      <c r="S361" s="9" t="str">
        <f aca="false">IF(N(K361)&gt;0,IF(H361="",99999,MIN(H361,IF(ISNUMBER(M361),M361,H361)))+ROW()/100000,"")</f>
        <v/>
      </c>
      <c r="U361" s="9" t="n">
        <f aca="false">IF(N(K361)&gt;0,N(L361),0)</f>
        <v>0</v>
      </c>
      <c r="V361" s="9" t="n">
        <f aca="false">IF(AND(N(K361)&gt;0,ISNUMBER(M361)),M361-Setup!$C$11,99999)</f>
        <v>99999</v>
      </c>
    </row>
    <row r="362" customFormat="false" ht="15" hidden="false" customHeight="false" outlineLevel="0" collapsed="false">
      <c r="A362" s="40" t="str">
        <f aca="false">IF(D362="","",ROW()-7)</f>
        <v/>
      </c>
      <c r="B362" s="79"/>
      <c r="C362" s="75"/>
      <c r="D362" s="76"/>
      <c r="E362" s="80"/>
      <c r="F362" s="79"/>
      <c r="G362" s="76"/>
      <c r="H362" s="54" t="str">
        <f aca="false">IF(OR(D362="",B362=""),"",IF(F362&lt;&gt;"",F362,B362+IFERROR(INDEX(Suppliers!$Q$7:$Q$106,MATCH(D362,Suppliers!$B$7:$B$106,0)),Setup!$C$7)))</f>
        <v/>
      </c>
      <c r="I362" s="46" t="str">
        <f aca="false">IF(OR(D362="",C362=""),IF(D362="","",0),SUMIFS(Payments!$D$8:$D$507,Payments!$C$8:$C$507,D362,Payments!$F$8:$F$507,C362))</f>
        <v/>
      </c>
      <c r="J362" s="46" t="str">
        <f aca="false">IF(D362="","",MIN(P362,MAX(0,R362-Q362)))</f>
        <v/>
      </c>
      <c r="K362" s="47" t="str">
        <f aca="false">IF(D362="","",P362-J362)</f>
        <v/>
      </c>
      <c r="L362" s="55" t="str">
        <f aca="false">IF(OR(D362="",N(K362)&lt;=0,H362=""),"",MAX(0,Setup!$C$11-H362))</f>
        <v/>
      </c>
      <c r="M362" s="54" t="str">
        <f aca="false">IF(OR(D362="",B362=""),"",IF(IFERROR(INDEX(Suppliers!$S$7:$S$106,MATCH(D362,Suppliers!$B$7:$B$106,0)),"")="","–",B362+IFERROR(INDEX(Suppliers!$S$7:$S$106,MATCH(D362,Suppliers!$B$7:$B$106,0)),"")))</f>
        <v/>
      </c>
      <c r="N362" s="56" t="str">
        <f aca="false">IF(D362="","",IF(N(K362)&lt;=0,"Paid",IF(AND(ISNUMBER(M362),Setup!$C$11&gt;M362),"⚠ MSME late",IF(N(L362)&gt;0,"Overdue",IF(N(V362)&lt;=Setup!$C$9,"⚠ MSME due soon",IF(K362&lt;E362,"Part paid","Not due"))))))</f>
        <v/>
      </c>
      <c r="O362" s="50" t="str">
        <f aca="false">IF(AND(D362="",B362="",C362="",E362=""),"",IF(D362="","⚠ Pick supplier",IF(ISNA(MATCH(D362,Suppliers!$B$7:$B$106,0)),"⚠ Supplier not in list",IF(B362="","⚠ Enter bill date",IF(N(E362)&lt;=0,"⚠ Enter amount",IF(AND(C362&lt;&gt;"",COUNTIFS($D$8:$D$507,D362,$C$8:$C$507,C362)&gt;1),"⚠ Bill no. used twice",IF(N(I362)&gt;N(E362),"⚠ Paid more than bill","✔")))))))</f>
        <v/>
      </c>
      <c r="P362" s="9" t="n">
        <f aca="false">IF(D362="",0,MAX(0,N(E362)-N(I362)))</f>
        <v>0</v>
      </c>
      <c r="Q362" s="9" t="n">
        <f aca="false">IF(D362="",0,SUMIFS($P$8:$P$507,$D$8:$D$507,D362,$B$8:$B$507,"&lt;"&amp;B362)+SUMIFS($P$8:P361,$D$8:D361,D362,$B$8:B361,B362))</f>
        <v>0</v>
      </c>
      <c r="R362" s="9" t="n">
        <f aca="false">IF(D362="",0,IFERROR(INDEX(Suppliers!$R$7:$R$106,MATCH(D362,Suppliers!$B$7:$B$106,0)),0))</f>
        <v>0</v>
      </c>
      <c r="S362" s="9" t="str">
        <f aca="false">IF(N(K362)&gt;0,IF(H362="",99999,MIN(H362,IF(ISNUMBER(M362),M362,H362)))+ROW()/100000,"")</f>
        <v/>
      </c>
      <c r="U362" s="9" t="n">
        <f aca="false">IF(N(K362)&gt;0,N(L362),0)</f>
        <v>0</v>
      </c>
      <c r="V362" s="9" t="n">
        <f aca="false">IF(AND(N(K362)&gt;0,ISNUMBER(M362)),M362-Setup!$C$11,99999)</f>
        <v>99999</v>
      </c>
    </row>
    <row r="363" customFormat="false" ht="15" hidden="false" customHeight="false" outlineLevel="0" collapsed="false">
      <c r="A363" s="40" t="str">
        <f aca="false">IF(D363="","",ROW()-7)</f>
        <v/>
      </c>
      <c r="B363" s="79"/>
      <c r="C363" s="75"/>
      <c r="D363" s="76"/>
      <c r="E363" s="80"/>
      <c r="F363" s="79"/>
      <c r="G363" s="76"/>
      <c r="H363" s="54" t="str">
        <f aca="false">IF(OR(D363="",B363=""),"",IF(F363&lt;&gt;"",F363,B363+IFERROR(INDEX(Suppliers!$Q$7:$Q$106,MATCH(D363,Suppliers!$B$7:$B$106,0)),Setup!$C$7)))</f>
        <v/>
      </c>
      <c r="I363" s="46" t="str">
        <f aca="false">IF(OR(D363="",C363=""),IF(D363="","",0),SUMIFS(Payments!$D$8:$D$507,Payments!$C$8:$C$507,D363,Payments!$F$8:$F$507,C363))</f>
        <v/>
      </c>
      <c r="J363" s="46" t="str">
        <f aca="false">IF(D363="","",MIN(P363,MAX(0,R363-Q363)))</f>
        <v/>
      </c>
      <c r="K363" s="47" t="str">
        <f aca="false">IF(D363="","",P363-J363)</f>
        <v/>
      </c>
      <c r="L363" s="55" t="str">
        <f aca="false">IF(OR(D363="",N(K363)&lt;=0,H363=""),"",MAX(0,Setup!$C$11-H363))</f>
        <v/>
      </c>
      <c r="M363" s="54" t="str">
        <f aca="false">IF(OR(D363="",B363=""),"",IF(IFERROR(INDEX(Suppliers!$S$7:$S$106,MATCH(D363,Suppliers!$B$7:$B$106,0)),"")="","–",B363+IFERROR(INDEX(Suppliers!$S$7:$S$106,MATCH(D363,Suppliers!$B$7:$B$106,0)),"")))</f>
        <v/>
      </c>
      <c r="N363" s="56" t="str">
        <f aca="false">IF(D363="","",IF(N(K363)&lt;=0,"Paid",IF(AND(ISNUMBER(M363),Setup!$C$11&gt;M363),"⚠ MSME late",IF(N(L363)&gt;0,"Overdue",IF(N(V363)&lt;=Setup!$C$9,"⚠ MSME due soon",IF(K363&lt;E363,"Part paid","Not due"))))))</f>
        <v/>
      </c>
      <c r="O363" s="50" t="str">
        <f aca="false">IF(AND(D363="",B363="",C363="",E363=""),"",IF(D363="","⚠ Pick supplier",IF(ISNA(MATCH(D363,Suppliers!$B$7:$B$106,0)),"⚠ Supplier not in list",IF(B363="","⚠ Enter bill date",IF(N(E363)&lt;=0,"⚠ Enter amount",IF(AND(C363&lt;&gt;"",COUNTIFS($D$8:$D$507,D363,$C$8:$C$507,C363)&gt;1),"⚠ Bill no. used twice",IF(N(I363)&gt;N(E363),"⚠ Paid more than bill","✔")))))))</f>
        <v/>
      </c>
      <c r="P363" s="9" t="n">
        <f aca="false">IF(D363="",0,MAX(0,N(E363)-N(I363)))</f>
        <v>0</v>
      </c>
      <c r="Q363" s="9" t="n">
        <f aca="false">IF(D363="",0,SUMIFS($P$8:$P$507,$D$8:$D$507,D363,$B$8:$B$507,"&lt;"&amp;B363)+SUMIFS($P$8:P362,$D$8:D362,D363,$B$8:B362,B363))</f>
        <v>0</v>
      </c>
      <c r="R363" s="9" t="n">
        <f aca="false">IF(D363="",0,IFERROR(INDEX(Suppliers!$R$7:$R$106,MATCH(D363,Suppliers!$B$7:$B$106,0)),0))</f>
        <v>0</v>
      </c>
      <c r="S363" s="9" t="str">
        <f aca="false">IF(N(K363)&gt;0,IF(H363="",99999,MIN(H363,IF(ISNUMBER(M363),M363,H363)))+ROW()/100000,"")</f>
        <v/>
      </c>
      <c r="U363" s="9" t="n">
        <f aca="false">IF(N(K363)&gt;0,N(L363),0)</f>
        <v>0</v>
      </c>
      <c r="V363" s="9" t="n">
        <f aca="false">IF(AND(N(K363)&gt;0,ISNUMBER(M363)),M363-Setup!$C$11,99999)</f>
        <v>99999</v>
      </c>
    </row>
    <row r="364" customFormat="false" ht="15" hidden="false" customHeight="false" outlineLevel="0" collapsed="false">
      <c r="A364" s="40" t="str">
        <f aca="false">IF(D364="","",ROW()-7)</f>
        <v/>
      </c>
      <c r="B364" s="79"/>
      <c r="C364" s="75"/>
      <c r="D364" s="76"/>
      <c r="E364" s="80"/>
      <c r="F364" s="79"/>
      <c r="G364" s="76"/>
      <c r="H364" s="54" t="str">
        <f aca="false">IF(OR(D364="",B364=""),"",IF(F364&lt;&gt;"",F364,B364+IFERROR(INDEX(Suppliers!$Q$7:$Q$106,MATCH(D364,Suppliers!$B$7:$B$106,0)),Setup!$C$7)))</f>
        <v/>
      </c>
      <c r="I364" s="46" t="str">
        <f aca="false">IF(OR(D364="",C364=""),IF(D364="","",0),SUMIFS(Payments!$D$8:$D$507,Payments!$C$8:$C$507,D364,Payments!$F$8:$F$507,C364))</f>
        <v/>
      </c>
      <c r="J364" s="46" t="str">
        <f aca="false">IF(D364="","",MIN(P364,MAX(0,R364-Q364)))</f>
        <v/>
      </c>
      <c r="K364" s="47" t="str">
        <f aca="false">IF(D364="","",P364-J364)</f>
        <v/>
      </c>
      <c r="L364" s="55" t="str">
        <f aca="false">IF(OR(D364="",N(K364)&lt;=0,H364=""),"",MAX(0,Setup!$C$11-H364))</f>
        <v/>
      </c>
      <c r="M364" s="54" t="str">
        <f aca="false">IF(OR(D364="",B364=""),"",IF(IFERROR(INDEX(Suppliers!$S$7:$S$106,MATCH(D364,Suppliers!$B$7:$B$106,0)),"")="","–",B364+IFERROR(INDEX(Suppliers!$S$7:$S$106,MATCH(D364,Suppliers!$B$7:$B$106,0)),"")))</f>
        <v/>
      </c>
      <c r="N364" s="56" t="str">
        <f aca="false">IF(D364="","",IF(N(K364)&lt;=0,"Paid",IF(AND(ISNUMBER(M364),Setup!$C$11&gt;M364),"⚠ MSME late",IF(N(L364)&gt;0,"Overdue",IF(N(V364)&lt;=Setup!$C$9,"⚠ MSME due soon",IF(K364&lt;E364,"Part paid","Not due"))))))</f>
        <v/>
      </c>
      <c r="O364" s="50" t="str">
        <f aca="false">IF(AND(D364="",B364="",C364="",E364=""),"",IF(D364="","⚠ Pick supplier",IF(ISNA(MATCH(D364,Suppliers!$B$7:$B$106,0)),"⚠ Supplier not in list",IF(B364="","⚠ Enter bill date",IF(N(E364)&lt;=0,"⚠ Enter amount",IF(AND(C364&lt;&gt;"",COUNTIFS($D$8:$D$507,D364,$C$8:$C$507,C364)&gt;1),"⚠ Bill no. used twice",IF(N(I364)&gt;N(E364),"⚠ Paid more than bill","✔")))))))</f>
        <v/>
      </c>
      <c r="P364" s="9" t="n">
        <f aca="false">IF(D364="",0,MAX(0,N(E364)-N(I364)))</f>
        <v>0</v>
      </c>
      <c r="Q364" s="9" t="n">
        <f aca="false">IF(D364="",0,SUMIFS($P$8:$P$507,$D$8:$D$507,D364,$B$8:$B$507,"&lt;"&amp;B364)+SUMIFS($P$8:P363,$D$8:D363,D364,$B$8:B363,B364))</f>
        <v>0</v>
      </c>
      <c r="R364" s="9" t="n">
        <f aca="false">IF(D364="",0,IFERROR(INDEX(Suppliers!$R$7:$R$106,MATCH(D364,Suppliers!$B$7:$B$106,0)),0))</f>
        <v>0</v>
      </c>
      <c r="S364" s="9" t="str">
        <f aca="false">IF(N(K364)&gt;0,IF(H364="",99999,MIN(H364,IF(ISNUMBER(M364),M364,H364)))+ROW()/100000,"")</f>
        <v/>
      </c>
      <c r="U364" s="9" t="n">
        <f aca="false">IF(N(K364)&gt;0,N(L364),0)</f>
        <v>0</v>
      </c>
      <c r="V364" s="9" t="n">
        <f aca="false">IF(AND(N(K364)&gt;0,ISNUMBER(M364)),M364-Setup!$C$11,99999)</f>
        <v>99999</v>
      </c>
    </row>
    <row r="365" customFormat="false" ht="15" hidden="false" customHeight="false" outlineLevel="0" collapsed="false">
      <c r="A365" s="40" t="str">
        <f aca="false">IF(D365="","",ROW()-7)</f>
        <v/>
      </c>
      <c r="B365" s="79"/>
      <c r="C365" s="75"/>
      <c r="D365" s="76"/>
      <c r="E365" s="80"/>
      <c r="F365" s="79"/>
      <c r="G365" s="76"/>
      <c r="H365" s="54" t="str">
        <f aca="false">IF(OR(D365="",B365=""),"",IF(F365&lt;&gt;"",F365,B365+IFERROR(INDEX(Suppliers!$Q$7:$Q$106,MATCH(D365,Suppliers!$B$7:$B$106,0)),Setup!$C$7)))</f>
        <v/>
      </c>
      <c r="I365" s="46" t="str">
        <f aca="false">IF(OR(D365="",C365=""),IF(D365="","",0),SUMIFS(Payments!$D$8:$D$507,Payments!$C$8:$C$507,D365,Payments!$F$8:$F$507,C365))</f>
        <v/>
      </c>
      <c r="J365" s="46" t="str">
        <f aca="false">IF(D365="","",MIN(P365,MAX(0,R365-Q365)))</f>
        <v/>
      </c>
      <c r="K365" s="47" t="str">
        <f aca="false">IF(D365="","",P365-J365)</f>
        <v/>
      </c>
      <c r="L365" s="55" t="str">
        <f aca="false">IF(OR(D365="",N(K365)&lt;=0,H365=""),"",MAX(0,Setup!$C$11-H365))</f>
        <v/>
      </c>
      <c r="M365" s="54" t="str">
        <f aca="false">IF(OR(D365="",B365=""),"",IF(IFERROR(INDEX(Suppliers!$S$7:$S$106,MATCH(D365,Suppliers!$B$7:$B$106,0)),"")="","–",B365+IFERROR(INDEX(Suppliers!$S$7:$S$106,MATCH(D365,Suppliers!$B$7:$B$106,0)),"")))</f>
        <v/>
      </c>
      <c r="N365" s="56" t="str">
        <f aca="false">IF(D365="","",IF(N(K365)&lt;=0,"Paid",IF(AND(ISNUMBER(M365),Setup!$C$11&gt;M365),"⚠ MSME late",IF(N(L365)&gt;0,"Overdue",IF(N(V365)&lt;=Setup!$C$9,"⚠ MSME due soon",IF(K365&lt;E365,"Part paid","Not due"))))))</f>
        <v/>
      </c>
      <c r="O365" s="50" t="str">
        <f aca="false">IF(AND(D365="",B365="",C365="",E365=""),"",IF(D365="","⚠ Pick supplier",IF(ISNA(MATCH(D365,Suppliers!$B$7:$B$106,0)),"⚠ Supplier not in list",IF(B365="","⚠ Enter bill date",IF(N(E365)&lt;=0,"⚠ Enter amount",IF(AND(C365&lt;&gt;"",COUNTIFS($D$8:$D$507,D365,$C$8:$C$507,C365)&gt;1),"⚠ Bill no. used twice",IF(N(I365)&gt;N(E365),"⚠ Paid more than bill","✔")))))))</f>
        <v/>
      </c>
      <c r="P365" s="9" t="n">
        <f aca="false">IF(D365="",0,MAX(0,N(E365)-N(I365)))</f>
        <v>0</v>
      </c>
      <c r="Q365" s="9" t="n">
        <f aca="false">IF(D365="",0,SUMIFS($P$8:$P$507,$D$8:$D$507,D365,$B$8:$B$507,"&lt;"&amp;B365)+SUMIFS($P$8:P364,$D$8:D364,D365,$B$8:B364,B365))</f>
        <v>0</v>
      </c>
      <c r="R365" s="9" t="n">
        <f aca="false">IF(D365="",0,IFERROR(INDEX(Suppliers!$R$7:$R$106,MATCH(D365,Suppliers!$B$7:$B$106,0)),0))</f>
        <v>0</v>
      </c>
      <c r="S365" s="9" t="str">
        <f aca="false">IF(N(K365)&gt;0,IF(H365="",99999,MIN(H365,IF(ISNUMBER(M365),M365,H365)))+ROW()/100000,"")</f>
        <v/>
      </c>
      <c r="U365" s="9" t="n">
        <f aca="false">IF(N(K365)&gt;0,N(L365),0)</f>
        <v>0</v>
      </c>
      <c r="V365" s="9" t="n">
        <f aca="false">IF(AND(N(K365)&gt;0,ISNUMBER(M365)),M365-Setup!$C$11,99999)</f>
        <v>99999</v>
      </c>
    </row>
    <row r="366" customFormat="false" ht="15" hidden="false" customHeight="false" outlineLevel="0" collapsed="false">
      <c r="A366" s="40" t="str">
        <f aca="false">IF(D366="","",ROW()-7)</f>
        <v/>
      </c>
      <c r="B366" s="79"/>
      <c r="C366" s="75"/>
      <c r="D366" s="76"/>
      <c r="E366" s="80"/>
      <c r="F366" s="79"/>
      <c r="G366" s="76"/>
      <c r="H366" s="54" t="str">
        <f aca="false">IF(OR(D366="",B366=""),"",IF(F366&lt;&gt;"",F366,B366+IFERROR(INDEX(Suppliers!$Q$7:$Q$106,MATCH(D366,Suppliers!$B$7:$B$106,0)),Setup!$C$7)))</f>
        <v/>
      </c>
      <c r="I366" s="46" t="str">
        <f aca="false">IF(OR(D366="",C366=""),IF(D366="","",0),SUMIFS(Payments!$D$8:$D$507,Payments!$C$8:$C$507,D366,Payments!$F$8:$F$507,C366))</f>
        <v/>
      </c>
      <c r="J366" s="46" t="str">
        <f aca="false">IF(D366="","",MIN(P366,MAX(0,R366-Q366)))</f>
        <v/>
      </c>
      <c r="K366" s="47" t="str">
        <f aca="false">IF(D366="","",P366-J366)</f>
        <v/>
      </c>
      <c r="L366" s="55" t="str">
        <f aca="false">IF(OR(D366="",N(K366)&lt;=0,H366=""),"",MAX(0,Setup!$C$11-H366))</f>
        <v/>
      </c>
      <c r="M366" s="54" t="str">
        <f aca="false">IF(OR(D366="",B366=""),"",IF(IFERROR(INDEX(Suppliers!$S$7:$S$106,MATCH(D366,Suppliers!$B$7:$B$106,0)),"")="","–",B366+IFERROR(INDEX(Suppliers!$S$7:$S$106,MATCH(D366,Suppliers!$B$7:$B$106,0)),"")))</f>
        <v/>
      </c>
      <c r="N366" s="56" t="str">
        <f aca="false">IF(D366="","",IF(N(K366)&lt;=0,"Paid",IF(AND(ISNUMBER(M366),Setup!$C$11&gt;M366),"⚠ MSME late",IF(N(L366)&gt;0,"Overdue",IF(N(V366)&lt;=Setup!$C$9,"⚠ MSME due soon",IF(K366&lt;E366,"Part paid","Not due"))))))</f>
        <v/>
      </c>
      <c r="O366" s="50" t="str">
        <f aca="false">IF(AND(D366="",B366="",C366="",E366=""),"",IF(D366="","⚠ Pick supplier",IF(ISNA(MATCH(D366,Suppliers!$B$7:$B$106,0)),"⚠ Supplier not in list",IF(B366="","⚠ Enter bill date",IF(N(E366)&lt;=0,"⚠ Enter amount",IF(AND(C366&lt;&gt;"",COUNTIFS($D$8:$D$507,D366,$C$8:$C$507,C366)&gt;1),"⚠ Bill no. used twice",IF(N(I366)&gt;N(E366),"⚠ Paid more than bill","✔")))))))</f>
        <v/>
      </c>
      <c r="P366" s="9" t="n">
        <f aca="false">IF(D366="",0,MAX(0,N(E366)-N(I366)))</f>
        <v>0</v>
      </c>
      <c r="Q366" s="9" t="n">
        <f aca="false">IF(D366="",0,SUMIFS($P$8:$P$507,$D$8:$D$507,D366,$B$8:$B$507,"&lt;"&amp;B366)+SUMIFS($P$8:P365,$D$8:D365,D366,$B$8:B365,B366))</f>
        <v>0</v>
      </c>
      <c r="R366" s="9" t="n">
        <f aca="false">IF(D366="",0,IFERROR(INDEX(Suppliers!$R$7:$R$106,MATCH(D366,Suppliers!$B$7:$B$106,0)),0))</f>
        <v>0</v>
      </c>
      <c r="S366" s="9" t="str">
        <f aca="false">IF(N(K366)&gt;0,IF(H366="",99999,MIN(H366,IF(ISNUMBER(M366),M366,H366)))+ROW()/100000,"")</f>
        <v/>
      </c>
      <c r="U366" s="9" t="n">
        <f aca="false">IF(N(K366)&gt;0,N(L366),0)</f>
        <v>0</v>
      </c>
      <c r="V366" s="9" t="n">
        <f aca="false">IF(AND(N(K366)&gt;0,ISNUMBER(M366)),M366-Setup!$C$11,99999)</f>
        <v>99999</v>
      </c>
    </row>
    <row r="367" customFormat="false" ht="15" hidden="false" customHeight="false" outlineLevel="0" collapsed="false">
      <c r="A367" s="40" t="str">
        <f aca="false">IF(D367="","",ROW()-7)</f>
        <v/>
      </c>
      <c r="B367" s="79"/>
      <c r="C367" s="75"/>
      <c r="D367" s="76"/>
      <c r="E367" s="80"/>
      <c r="F367" s="79"/>
      <c r="G367" s="76"/>
      <c r="H367" s="54" t="str">
        <f aca="false">IF(OR(D367="",B367=""),"",IF(F367&lt;&gt;"",F367,B367+IFERROR(INDEX(Suppliers!$Q$7:$Q$106,MATCH(D367,Suppliers!$B$7:$B$106,0)),Setup!$C$7)))</f>
        <v/>
      </c>
      <c r="I367" s="46" t="str">
        <f aca="false">IF(OR(D367="",C367=""),IF(D367="","",0),SUMIFS(Payments!$D$8:$D$507,Payments!$C$8:$C$507,D367,Payments!$F$8:$F$507,C367))</f>
        <v/>
      </c>
      <c r="J367" s="46" t="str">
        <f aca="false">IF(D367="","",MIN(P367,MAX(0,R367-Q367)))</f>
        <v/>
      </c>
      <c r="K367" s="47" t="str">
        <f aca="false">IF(D367="","",P367-J367)</f>
        <v/>
      </c>
      <c r="L367" s="55" t="str">
        <f aca="false">IF(OR(D367="",N(K367)&lt;=0,H367=""),"",MAX(0,Setup!$C$11-H367))</f>
        <v/>
      </c>
      <c r="M367" s="54" t="str">
        <f aca="false">IF(OR(D367="",B367=""),"",IF(IFERROR(INDEX(Suppliers!$S$7:$S$106,MATCH(D367,Suppliers!$B$7:$B$106,0)),"")="","–",B367+IFERROR(INDEX(Suppliers!$S$7:$S$106,MATCH(D367,Suppliers!$B$7:$B$106,0)),"")))</f>
        <v/>
      </c>
      <c r="N367" s="56" t="str">
        <f aca="false">IF(D367="","",IF(N(K367)&lt;=0,"Paid",IF(AND(ISNUMBER(M367),Setup!$C$11&gt;M367),"⚠ MSME late",IF(N(L367)&gt;0,"Overdue",IF(N(V367)&lt;=Setup!$C$9,"⚠ MSME due soon",IF(K367&lt;E367,"Part paid","Not due"))))))</f>
        <v/>
      </c>
      <c r="O367" s="50" t="str">
        <f aca="false">IF(AND(D367="",B367="",C367="",E367=""),"",IF(D367="","⚠ Pick supplier",IF(ISNA(MATCH(D367,Suppliers!$B$7:$B$106,0)),"⚠ Supplier not in list",IF(B367="","⚠ Enter bill date",IF(N(E367)&lt;=0,"⚠ Enter amount",IF(AND(C367&lt;&gt;"",COUNTIFS($D$8:$D$507,D367,$C$8:$C$507,C367)&gt;1),"⚠ Bill no. used twice",IF(N(I367)&gt;N(E367),"⚠ Paid more than bill","✔")))))))</f>
        <v/>
      </c>
      <c r="P367" s="9" t="n">
        <f aca="false">IF(D367="",0,MAX(0,N(E367)-N(I367)))</f>
        <v>0</v>
      </c>
      <c r="Q367" s="9" t="n">
        <f aca="false">IF(D367="",0,SUMIFS($P$8:$P$507,$D$8:$D$507,D367,$B$8:$B$507,"&lt;"&amp;B367)+SUMIFS($P$8:P366,$D$8:D366,D367,$B$8:B366,B367))</f>
        <v>0</v>
      </c>
      <c r="R367" s="9" t="n">
        <f aca="false">IF(D367="",0,IFERROR(INDEX(Suppliers!$R$7:$R$106,MATCH(D367,Suppliers!$B$7:$B$106,0)),0))</f>
        <v>0</v>
      </c>
      <c r="S367" s="9" t="str">
        <f aca="false">IF(N(K367)&gt;0,IF(H367="",99999,MIN(H367,IF(ISNUMBER(M367),M367,H367)))+ROW()/100000,"")</f>
        <v/>
      </c>
      <c r="U367" s="9" t="n">
        <f aca="false">IF(N(K367)&gt;0,N(L367),0)</f>
        <v>0</v>
      </c>
      <c r="V367" s="9" t="n">
        <f aca="false">IF(AND(N(K367)&gt;0,ISNUMBER(M367)),M367-Setup!$C$11,99999)</f>
        <v>99999</v>
      </c>
    </row>
    <row r="368" customFormat="false" ht="15" hidden="false" customHeight="false" outlineLevel="0" collapsed="false">
      <c r="A368" s="40" t="str">
        <f aca="false">IF(D368="","",ROW()-7)</f>
        <v/>
      </c>
      <c r="B368" s="79"/>
      <c r="C368" s="75"/>
      <c r="D368" s="76"/>
      <c r="E368" s="80"/>
      <c r="F368" s="79"/>
      <c r="G368" s="76"/>
      <c r="H368" s="54" t="str">
        <f aca="false">IF(OR(D368="",B368=""),"",IF(F368&lt;&gt;"",F368,B368+IFERROR(INDEX(Suppliers!$Q$7:$Q$106,MATCH(D368,Suppliers!$B$7:$B$106,0)),Setup!$C$7)))</f>
        <v/>
      </c>
      <c r="I368" s="46" t="str">
        <f aca="false">IF(OR(D368="",C368=""),IF(D368="","",0),SUMIFS(Payments!$D$8:$D$507,Payments!$C$8:$C$507,D368,Payments!$F$8:$F$507,C368))</f>
        <v/>
      </c>
      <c r="J368" s="46" t="str">
        <f aca="false">IF(D368="","",MIN(P368,MAX(0,R368-Q368)))</f>
        <v/>
      </c>
      <c r="K368" s="47" t="str">
        <f aca="false">IF(D368="","",P368-J368)</f>
        <v/>
      </c>
      <c r="L368" s="55" t="str">
        <f aca="false">IF(OR(D368="",N(K368)&lt;=0,H368=""),"",MAX(0,Setup!$C$11-H368))</f>
        <v/>
      </c>
      <c r="M368" s="54" t="str">
        <f aca="false">IF(OR(D368="",B368=""),"",IF(IFERROR(INDEX(Suppliers!$S$7:$S$106,MATCH(D368,Suppliers!$B$7:$B$106,0)),"")="","–",B368+IFERROR(INDEX(Suppliers!$S$7:$S$106,MATCH(D368,Suppliers!$B$7:$B$106,0)),"")))</f>
        <v/>
      </c>
      <c r="N368" s="56" t="str">
        <f aca="false">IF(D368="","",IF(N(K368)&lt;=0,"Paid",IF(AND(ISNUMBER(M368),Setup!$C$11&gt;M368),"⚠ MSME late",IF(N(L368)&gt;0,"Overdue",IF(N(V368)&lt;=Setup!$C$9,"⚠ MSME due soon",IF(K368&lt;E368,"Part paid","Not due"))))))</f>
        <v/>
      </c>
      <c r="O368" s="50" t="str">
        <f aca="false">IF(AND(D368="",B368="",C368="",E368=""),"",IF(D368="","⚠ Pick supplier",IF(ISNA(MATCH(D368,Suppliers!$B$7:$B$106,0)),"⚠ Supplier not in list",IF(B368="","⚠ Enter bill date",IF(N(E368)&lt;=0,"⚠ Enter amount",IF(AND(C368&lt;&gt;"",COUNTIFS($D$8:$D$507,D368,$C$8:$C$507,C368)&gt;1),"⚠ Bill no. used twice",IF(N(I368)&gt;N(E368),"⚠ Paid more than bill","✔")))))))</f>
        <v/>
      </c>
      <c r="P368" s="9" t="n">
        <f aca="false">IF(D368="",0,MAX(0,N(E368)-N(I368)))</f>
        <v>0</v>
      </c>
      <c r="Q368" s="9" t="n">
        <f aca="false">IF(D368="",0,SUMIFS($P$8:$P$507,$D$8:$D$507,D368,$B$8:$B$507,"&lt;"&amp;B368)+SUMIFS($P$8:P367,$D$8:D367,D368,$B$8:B367,B368))</f>
        <v>0</v>
      </c>
      <c r="R368" s="9" t="n">
        <f aca="false">IF(D368="",0,IFERROR(INDEX(Suppliers!$R$7:$R$106,MATCH(D368,Suppliers!$B$7:$B$106,0)),0))</f>
        <v>0</v>
      </c>
      <c r="S368" s="9" t="str">
        <f aca="false">IF(N(K368)&gt;0,IF(H368="",99999,MIN(H368,IF(ISNUMBER(M368),M368,H368)))+ROW()/100000,"")</f>
        <v/>
      </c>
      <c r="U368" s="9" t="n">
        <f aca="false">IF(N(K368)&gt;0,N(L368),0)</f>
        <v>0</v>
      </c>
      <c r="V368" s="9" t="n">
        <f aca="false">IF(AND(N(K368)&gt;0,ISNUMBER(M368)),M368-Setup!$C$11,99999)</f>
        <v>99999</v>
      </c>
    </row>
    <row r="369" customFormat="false" ht="15" hidden="false" customHeight="false" outlineLevel="0" collapsed="false">
      <c r="A369" s="40" t="str">
        <f aca="false">IF(D369="","",ROW()-7)</f>
        <v/>
      </c>
      <c r="B369" s="79"/>
      <c r="C369" s="75"/>
      <c r="D369" s="76"/>
      <c r="E369" s="80"/>
      <c r="F369" s="79"/>
      <c r="G369" s="76"/>
      <c r="H369" s="54" t="str">
        <f aca="false">IF(OR(D369="",B369=""),"",IF(F369&lt;&gt;"",F369,B369+IFERROR(INDEX(Suppliers!$Q$7:$Q$106,MATCH(D369,Suppliers!$B$7:$B$106,0)),Setup!$C$7)))</f>
        <v/>
      </c>
      <c r="I369" s="46" t="str">
        <f aca="false">IF(OR(D369="",C369=""),IF(D369="","",0),SUMIFS(Payments!$D$8:$D$507,Payments!$C$8:$C$507,D369,Payments!$F$8:$F$507,C369))</f>
        <v/>
      </c>
      <c r="J369" s="46" t="str">
        <f aca="false">IF(D369="","",MIN(P369,MAX(0,R369-Q369)))</f>
        <v/>
      </c>
      <c r="K369" s="47" t="str">
        <f aca="false">IF(D369="","",P369-J369)</f>
        <v/>
      </c>
      <c r="L369" s="55" t="str">
        <f aca="false">IF(OR(D369="",N(K369)&lt;=0,H369=""),"",MAX(0,Setup!$C$11-H369))</f>
        <v/>
      </c>
      <c r="M369" s="54" t="str">
        <f aca="false">IF(OR(D369="",B369=""),"",IF(IFERROR(INDEX(Suppliers!$S$7:$S$106,MATCH(D369,Suppliers!$B$7:$B$106,0)),"")="","–",B369+IFERROR(INDEX(Suppliers!$S$7:$S$106,MATCH(D369,Suppliers!$B$7:$B$106,0)),"")))</f>
        <v/>
      </c>
      <c r="N369" s="56" t="str">
        <f aca="false">IF(D369="","",IF(N(K369)&lt;=0,"Paid",IF(AND(ISNUMBER(M369),Setup!$C$11&gt;M369),"⚠ MSME late",IF(N(L369)&gt;0,"Overdue",IF(N(V369)&lt;=Setup!$C$9,"⚠ MSME due soon",IF(K369&lt;E369,"Part paid","Not due"))))))</f>
        <v/>
      </c>
      <c r="O369" s="50" t="str">
        <f aca="false">IF(AND(D369="",B369="",C369="",E369=""),"",IF(D369="","⚠ Pick supplier",IF(ISNA(MATCH(D369,Suppliers!$B$7:$B$106,0)),"⚠ Supplier not in list",IF(B369="","⚠ Enter bill date",IF(N(E369)&lt;=0,"⚠ Enter amount",IF(AND(C369&lt;&gt;"",COUNTIFS($D$8:$D$507,D369,$C$8:$C$507,C369)&gt;1),"⚠ Bill no. used twice",IF(N(I369)&gt;N(E369),"⚠ Paid more than bill","✔")))))))</f>
        <v/>
      </c>
      <c r="P369" s="9" t="n">
        <f aca="false">IF(D369="",0,MAX(0,N(E369)-N(I369)))</f>
        <v>0</v>
      </c>
      <c r="Q369" s="9" t="n">
        <f aca="false">IF(D369="",0,SUMIFS($P$8:$P$507,$D$8:$D$507,D369,$B$8:$B$507,"&lt;"&amp;B369)+SUMIFS($P$8:P368,$D$8:D368,D369,$B$8:B368,B369))</f>
        <v>0</v>
      </c>
      <c r="R369" s="9" t="n">
        <f aca="false">IF(D369="",0,IFERROR(INDEX(Suppliers!$R$7:$R$106,MATCH(D369,Suppliers!$B$7:$B$106,0)),0))</f>
        <v>0</v>
      </c>
      <c r="S369" s="9" t="str">
        <f aca="false">IF(N(K369)&gt;0,IF(H369="",99999,MIN(H369,IF(ISNUMBER(M369),M369,H369)))+ROW()/100000,"")</f>
        <v/>
      </c>
      <c r="U369" s="9" t="n">
        <f aca="false">IF(N(K369)&gt;0,N(L369),0)</f>
        <v>0</v>
      </c>
      <c r="V369" s="9" t="n">
        <f aca="false">IF(AND(N(K369)&gt;0,ISNUMBER(M369)),M369-Setup!$C$11,99999)</f>
        <v>99999</v>
      </c>
    </row>
    <row r="370" customFormat="false" ht="15" hidden="false" customHeight="false" outlineLevel="0" collapsed="false">
      <c r="A370" s="40" t="str">
        <f aca="false">IF(D370="","",ROW()-7)</f>
        <v/>
      </c>
      <c r="B370" s="79"/>
      <c r="C370" s="75"/>
      <c r="D370" s="76"/>
      <c r="E370" s="80"/>
      <c r="F370" s="79"/>
      <c r="G370" s="76"/>
      <c r="H370" s="54" t="str">
        <f aca="false">IF(OR(D370="",B370=""),"",IF(F370&lt;&gt;"",F370,B370+IFERROR(INDEX(Suppliers!$Q$7:$Q$106,MATCH(D370,Suppliers!$B$7:$B$106,0)),Setup!$C$7)))</f>
        <v/>
      </c>
      <c r="I370" s="46" t="str">
        <f aca="false">IF(OR(D370="",C370=""),IF(D370="","",0),SUMIFS(Payments!$D$8:$D$507,Payments!$C$8:$C$507,D370,Payments!$F$8:$F$507,C370))</f>
        <v/>
      </c>
      <c r="J370" s="46" t="str">
        <f aca="false">IF(D370="","",MIN(P370,MAX(0,R370-Q370)))</f>
        <v/>
      </c>
      <c r="K370" s="47" t="str">
        <f aca="false">IF(D370="","",P370-J370)</f>
        <v/>
      </c>
      <c r="L370" s="55" t="str">
        <f aca="false">IF(OR(D370="",N(K370)&lt;=0,H370=""),"",MAX(0,Setup!$C$11-H370))</f>
        <v/>
      </c>
      <c r="M370" s="54" t="str">
        <f aca="false">IF(OR(D370="",B370=""),"",IF(IFERROR(INDEX(Suppliers!$S$7:$S$106,MATCH(D370,Suppliers!$B$7:$B$106,0)),"")="","–",B370+IFERROR(INDEX(Suppliers!$S$7:$S$106,MATCH(D370,Suppliers!$B$7:$B$106,0)),"")))</f>
        <v/>
      </c>
      <c r="N370" s="56" t="str">
        <f aca="false">IF(D370="","",IF(N(K370)&lt;=0,"Paid",IF(AND(ISNUMBER(M370),Setup!$C$11&gt;M370),"⚠ MSME late",IF(N(L370)&gt;0,"Overdue",IF(N(V370)&lt;=Setup!$C$9,"⚠ MSME due soon",IF(K370&lt;E370,"Part paid","Not due"))))))</f>
        <v/>
      </c>
      <c r="O370" s="50" t="str">
        <f aca="false">IF(AND(D370="",B370="",C370="",E370=""),"",IF(D370="","⚠ Pick supplier",IF(ISNA(MATCH(D370,Suppliers!$B$7:$B$106,0)),"⚠ Supplier not in list",IF(B370="","⚠ Enter bill date",IF(N(E370)&lt;=0,"⚠ Enter amount",IF(AND(C370&lt;&gt;"",COUNTIFS($D$8:$D$507,D370,$C$8:$C$507,C370)&gt;1),"⚠ Bill no. used twice",IF(N(I370)&gt;N(E370),"⚠ Paid more than bill","✔")))))))</f>
        <v/>
      </c>
      <c r="P370" s="9" t="n">
        <f aca="false">IF(D370="",0,MAX(0,N(E370)-N(I370)))</f>
        <v>0</v>
      </c>
      <c r="Q370" s="9" t="n">
        <f aca="false">IF(D370="",0,SUMIFS($P$8:$P$507,$D$8:$D$507,D370,$B$8:$B$507,"&lt;"&amp;B370)+SUMIFS($P$8:P369,$D$8:D369,D370,$B$8:B369,B370))</f>
        <v>0</v>
      </c>
      <c r="R370" s="9" t="n">
        <f aca="false">IF(D370="",0,IFERROR(INDEX(Suppliers!$R$7:$R$106,MATCH(D370,Suppliers!$B$7:$B$106,0)),0))</f>
        <v>0</v>
      </c>
      <c r="S370" s="9" t="str">
        <f aca="false">IF(N(K370)&gt;0,IF(H370="",99999,MIN(H370,IF(ISNUMBER(M370),M370,H370)))+ROW()/100000,"")</f>
        <v/>
      </c>
      <c r="U370" s="9" t="n">
        <f aca="false">IF(N(K370)&gt;0,N(L370),0)</f>
        <v>0</v>
      </c>
      <c r="V370" s="9" t="n">
        <f aca="false">IF(AND(N(K370)&gt;0,ISNUMBER(M370)),M370-Setup!$C$11,99999)</f>
        <v>99999</v>
      </c>
    </row>
    <row r="371" customFormat="false" ht="15" hidden="false" customHeight="false" outlineLevel="0" collapsed="false">
      <c r="A371" s="40" t="str">
        <f aca="false">IF(D371="","",ROW()-7)</f>
        <v/>
      </c>
      <c r="B371" s="79"/>
      <c r="C371" s="75"/>
      <c r="D371" s="76"/>
      <c r="E371" s="80"/>
      <c r="F371" s="79"/>
      <c r="G371" s="76"/>
      <c r="H371" s="54" t="str">
        <f aca="false">IF(OR(D371="",B371=""),"",IF(F371&lt;&gt;"",F371,B371+IFERROR(INDEX(Suppliers!$Q$7:$Q$106,MATCH(D371,Suppliers!$B$7:$B$106,0)),Setup!$C$7)))</f>
        <v/>
      </c>
      <c r="I371" s="46" t="str">
        <f aca="false">IF(OR(D371="",C371=""),IF(D371="","",0),SUMIFS(Payments!$D$8:$D$507,Payments!$C$8:$C$507,D371,Payments!$F$8:$F$507,C371))</f>
        <v/>
      </c>
      <c r="J371" s="46" t="str">
        <f aca="false">IF(D371="","",MIN(P371,MAX(0,R371-Q371)))</f>
        <v/>
      </c>
      <c r="K371" s="47" t="str">
        <f aca="false">IF(D371="","",P371-J371)</f>
        <v/>
      </c>
      <c r="L371" s="55" t="str">
        <f aca="false">IF(OR(D371="",N(K371)&lt;=0,H371=""),"",MAX(0,Setup!$C$11-H371))</f>
        <v/>
      </c>
      <c r="M371" s="54" t="str">
        <f aca="false">IF(OR(D371="",B371=""),"",IF(IFERROR(INDEX(Suppliers!$S$7:$S$106,MATCH(D371,Suppliers!$B$7:$B$106,0)),"")="","–",B371+IFERROR(INDEX(Suppliers!$S$7:$S$106,MATCH(D371,Suppliers!$B$7:$B$106,0)),"")))</f>
        <v/>
      </c>
      <c r="N371" s="56" t="str">
        <f aca="false">IF(D371="","",IF(N(K371)&lt;=0,"Paid",IF(AND(ISNUMBER(M371),Setup!$C$11&gt;M371),"⚠ MSME late",IF(N(L371)&gt;0,"Overdue",IF(N(V371)&lt;=Setup!$C$9,"⚠ MSME due soon",IF(K371&lt;E371,"Part paid","Not due"))))))</f>
        <v/>
      </c>
      <c r="O371" s="50" t="str">
        <f aca="false">IF(AND(D371="",B371="",C371="",E371=""),"",IF(D371="","⚠ Pick supplier",IF(ISNA(MATCH(D371,Suppliers!$B$7:$B$106,0)),"⚠ Supplier not in list",IF(B371="","⚠ Enter bill date",IF(N(E371)&lt;=0,"⚠ Enter amount",IF(AND(C371&lt;&gt;"",COUNTIFS($D$8:$D$507,D371,$C$8:$C$507,C371)&gt;1),"⚠ Bill no. used twice",IF(N(I371)&gt;N(E371),"⚠ Paid more than bill","✔")))))))</f>
        <v/>
      </c>
      <c r="P371" s="9" t="n">
        <f aca="false">IF(D371="",0,MAX(0,N(E371)-N(I371)))</f>
        <v>0</v>
      </c>
      <c r="Q371" s="9" t="n">
        <f aca="false">IF(D371="",0,SUMIFS($P$8:$P$507,$D$8:$D$507,D371,$B$8:$B$507,"&lt;"&amp;B371)+SUMIFS($P$8:P370,$D$8:D370,D371,$B$8:B370,B371))</f>
        <v>0</v>
      </c>
      <c r="R371" s="9" t="n">
        <f aca="false">IF(D371="",0,IFERROR(INDEX(Suppliers!$R$7:$R$106,MATCH(D371,Suppliers!$B$7:$B$106,0)),0))</f>
        <v>0</v>
      </c>
      <c r="S371" s="9" t="str">
        <f aca="false">IF(N(K371)&gt;0,IF(H371="",99999,MIN(H371,IF(ISNUMBER(M371),M371,H371)))+ROW()/100000,"")</f>
        <v/>
      </c>
      <c r="U371" s="9" t="n">
        <f aca="false">IF(N(K371)&gt;0,N(L371),0)</f>
        <v>0</v>
      </c>
      <c r="V371" s="9" t="n">
        <f aca="false">IF(AND(N(K371)&gt;0,ISNUMBER(M371)),M371-Setup!$C$11,99999)</f>
        <v>99999</v>
      </c>
    </row>
    <row r="372" customFormat="false" ht="15" hidden="false" customHeight="false" outlineLevel="0" collapsed="false">
      <c r="A372" s="40" t="str">
        <f aca="false">IF(D372="","",ROW()-7)</f>
        <v/>
      </c>
      <c r="B372" s="79"/>
      <c r="C372" s="75"/>
      <c r="D372" s="76"/>
      <c r="E372" s="80"/>
      <c r="F372" s="79"/>
      <c r="G372" s="76"/>
      <c r="H372" s="54" t="str">
        <f aca="false">IF(OR(D372="",B372=""),"",IF(F372&lt;&gt;"",F372,B372+IFERROR(INDEX(Suppliers!$Q$7:$Q$106,MATCH(D372,Suppliers!$B$7:$B$106,0)),Setup!$C$7)))</f>
        <v/>
      </c>
      <c r="I372" s="46" t="str">
        <f aca="false">IF(OR(D372="",C372=""),IF(D372="","",0),SUMIFS(Payments!$D$8:$D$507,Payments!$C$8:$C$507,D372,Payments!$F$8:$F$507,C372))</f>
        <v/>
      </c>
      <c r="J372" s="46" t="str">
        <f aca="false">IF(D372="","",MIN(P372,MAX(0,R372-Q372)))</f>
        <v/>
      </c>
      <c r="K372" s="47" t="str">
        <f aca="false">IF(D372="","",P372-J372)</f>
        <v/>
      </c>
      <c r="L372" s="55" t="str">
        <f aca="false">IF(OR(D372="",N(K372)&lt;=0,H372=""),"",MAX(0,Setup!$C$11-H372))</f>
        <v/>
      </c>
      <c r="M372" s="54" t="str">
        <f aca="false">IF(OR(D372="",B372=""),"",IF(IFERROR(INDEX(Suppliers!$S$7:$S$106,MATCH(D372,Suppliers!$B$7:$B$106,0)),"")="","–",B372+IFERROR(INDEX(Suppliers!$S$7:$S$106,MATCH(D372,Suppliers!$B$7:$B$106,0)),"")))</f>
        <v/>
      </c>
      <c r="N372" s="56" t="str">
        <f aca="false">IF(D372="","",IF(N(K372)&lt;=0,"Paid",IF(AND(ISNUMBER(M372),Setup!$C$11&gt;M372),"⚠ MSME late",IF(N(L372)&gt;0,"Overdue",IF(N(V372)&lt;=Setup!$C$9,"⚠ MSME due soon",IF(K372&lt;E372,"Part paid","Not due"))))))</f>
        <v/>
      </c>
      <c r="O372" s="50" t="str">
        <f aca="false">IF(AND(D372="",B372="",C372="",E372=""),"",IF(D372="","⚠ Pick supplier",IF(ISNA(MATCH(D372,Suppliers!$B$7:$B$106,0)),"⚠ Supplier not in list",IF(B372="","⚠ Enter bill date",IF(N(E372)&lt;=0,"⚠ Enter amount",IF(AND(C372&lt;&gt;"",COUNTIFS($D$8:$D$507,D372,$C$8:$C$507,C372)&gt;1),"⚠ Bill no. used twice",IF(N(I372)&gt;N(E372),"⚠ Paid more than bill","✔")))))))</f>
        <v/>
      </c>
      <c r="P372" s="9" t="n">
        <f aca="false">IF(D372="",0,MAX(0,N(E372)-N(I372)))</f>
        <v>0</v>
      </c>
      <c r="Q372" s="9" t="n">
        <f aca="false">IF(D372="",0,SUMIFS($P$8:$P$507,$D$8:$D$507,D372,$B$8:$B$507,"&lt;"&amp;B372)+SUMIFS($P$8:P371,$D$8:D371,D372,$B$8:B371,B372))</f>
        <v>0</v>
      </c>
      <c r="R372" s="9" t="n">
        <f aca="false">IF(D372="",0,IFERROR(INDEX(Suppliers!$R$7:$R$106,MATCH(D372,Suppliers!$B$7:$B$106,0)),0))</f>
        <v>0</v>
      </c>
      <c r="S372" s="9" t="str">
        <f aca="false">IF(N(K372)&gt;0,IF(H372="",99999,MIN(H372,IF(ISNUMBER(M372),M372,H372)))+ROW()/100000,"")</f>
        <v/>
      </c>
      <c r="U372" s="9" t="n">
        <f aca="false">IF(N(K372)&gt;0,N(L372),0)</f>
        <v>0</v>
      </c>
      <c r="V372" s="9" t="n">
        <f aca="false">IF(AND(N(K372)&gt;0,ISNUMBER(M372)),M372-Setup!$C$11,99999)</f>
        <v>99999</v>
      </c>
    </row>
    <row r="373" customFormat="false" ht="15" hidden="false" customHeight="false" outlineLevel="0" collapsed="false">
      <c r="A373" s="40" t="str">
        <f aca="false">IF(D373="","",ROW()-7)</f>
        <v/>
      </c>
      <c r="B373" s="79"/>
      <c r="C373" s="75"/>
      <c r="D373" s="76"/>
      <c r="E373" s="80"/>
      <c r="F373" s="79"/>
      <c r="G373" s="76"/>
      <c r="H373" s="54" t="str">
        <f aca="false">IF(OR(D373="",B373=""),"",IF(F373&lt;&gt;"",F373,B373+IFERROR(INDEX(Suppliers!$Q$7:$Q$106,MATCH(D373,Suppliers!$B$7:$B$106,0)),Setup!$C$7)))</f>
        <v/>
      </c>
      <c r="I373" s="46" t="str">
        <f aca="false">IF(OR(D373="",C373=""),IF(D373="","",0),SUMIFS(Payments!$D$8:$D$507,Payments!$C$8:$C$507,D373,Payments!$F$8:$F$507,C373))</f>
        <v/>
      </c>
      <c r="J373" s="46" t="str">
        <f aca="false">IF(D373="","",MIN(P373,MAX(0,R373-Q373)))</f>
        <v/>
      </c>
      <c r="K373" s="47" t="str">
        <f aca="false">IF(D373="","",P373-J373)</f>
        <v/>
      </c>
      <c r="L373" s="55" t="str">
        <f aca="false">IF(OR(D373="",N(K373)&lt;=0,H373=""),"",MAX(0,Setup!$C$11-H373))</f>
        <v/>
      </c>
      <c r="M373" s="54" t="str">
        <f aca="false">IF(OR(D373="",B373=""),"",IF(IFERROR(INDEX(Suppliers!$S$7:$S$106,MATCH(D373,Suppliers!$B$7:$B$106,0)),"")="","–",B373+IFERROR(INDEX(Suppliers!$S$7:$S$106,MATCH(D373,Suppliers!$B$7:$B$106,0)),"")))</f>
        <v/>
      </c>
      <c r="N373" s="56" t="str">
        <f aca="false">IF(D373="","",IF(N(K373)&lt;=0,"Paid",IF(AND(ISNUMBER(M373),Setup!$C$11&gt;M373),"⚠ MSME late",IF(N(L373)&gt;0,"Overdue",IF(N(V373)&lt;=Setup!$C$9,"⚠ MSME due soon",IF(K373&lt;E373,"Part paid","Not due"))))))</f>
        <v/>
      </c>
      <c r="O373" s="50" t="str">
        <f aca="false">IF(AND(D373="",B373="",C373="",E373=""),"",IF(D373="","⚠ Pick supplier",IF(ISNA(MATCH(D373,Suppliers!$B$7:$B$106,0)),"⚠ Supplier not in list",IF(B373="","⚠ Enter bill date",IF(N(E373)&lt;=0,"⚠ Enter amount",IF(AND(C373&lt;&gt;"",COUNTIFS($D$8:$D$507,D373,$C$8:$C$507,C373)&gt;1),"⚠ Bill no. used twice",IF(N(I373)&gt;N(E373),"⚠ Paid more than bill","✔")))))))</f>
        <v/>
      </c>
      <c r="P373" s="9" t="n">
        <f aca="false">IF(D373="",0,MAX(0,N(E373)-N(I373)))</f>
        <v>0</v>
      </c>
      <c r="Q373" s="9" t="n">
        <f aca="false">IF(D373="",0,SUMIFS($P$8:$P$507,$D$8:$D$507,D373,$B$8:$B$507,"&lt;"&amp;B373)+SUMIFS($P$8:P372,$D$8:D372,D373,$B$8:B372,B373))</f>
        <v>0</v>
      </c>
      <c r="R373" s="9" t="n">
        <f aca="false">IF(D373="",0,IFERROR(INDEX(Suppliers!$R$7:$R$106,MATCH(D373,Suppliers!$B$7:$B$106,0)),0))</f>
        <v>0</v>
      </c>
      <c r="S373" s="9" t="str">
        <f aca="false">IF(N(K373)&gt;0,IF(H373="",99999,MIN(H373,IF(ISNUMBER(M373),M373,H373)))+ROW()/100000,"")</f>
        <v/>
      </c>
      <c r="U373" s="9" t="n">
        <f aca="false">IF(N(K373)&gt;0,N(L373),0)</f>
        <v>0</v>
      </c>
      <c r="V373" s="9" t="n">
        <f aca="false">IF(AND(N(K373)&gt;0,ISNUMBER(M373)),M373-Setup!$C$11,99999)</f>
        <v>99999</v>
      </c>
    </row>
    <row r="374" customFormat="false" ht="15" hidden="false" customHeight="false" outlineLevel="0" collapsed="false">
      <c r="A374" s="40" t="str">
        <f aca="false">IF(D374="","",ROW()-7)</f>
        <v/>
      </c>
      <c r="B374" s="79"/>
      <c r="C374" s="75"/>
      <c r="D374" s="76"/>
      <c r="E374" s="80"/>
      <c r="F374" s="79"/>
      <c r="G374" s="76"/>
      <c r="H374" s="54" t="str">
        <f aca="false">IF(OR(D374="",B374=""),"",IF(F374&lt;&gt;"",F374,B374+IFERROR(INDEX(Suppliers!$Q$7:$Q$106,MATCH(D374,Suppliers!$B$7:$B$106,0)),Setup!$C$7)))</f>
        <v/>
      </c>
      <c r="I374" s="46" t="str">
        <f aca="false">IF(OR(D374="",C374=""),IF(D374="","",0),SUMIFS(Payments!$D$8:$D$507,Payments!$C$8:$C$507,D374,Payments!$F$8:$F$507,C374))</f>
        <v/>
      </c>
      <c r="J374" s="46" t="str">
        <f aca="false">IF(D374="","",MIN(P374,MAX(0,R374-Q374)))</f>
        <v/>
      </c>
      <c r="K374" s="47" t="str">
        <f aca="false">IF(D374="","",P374-J374)</f>
        <v/>
      </c>
      <c r="L374" s="55" t="str">
        <f aca="false">IF(OR(D374="",N(K374)&lt;=0,H374=""),"",MAX(0,Setup!$C$11-H374))</f>
        <v/>
      </c>
      <c r="M374" s="54" t="str">
        <f aca="false">IF(OR(D374="",B374=""),"",IF(IFERROR(INDEX(Suppliers!$S$7:$S$106,MATCH(D374,Suppliers!$B$7:$B$106,0)),"")="","–",B374+IFERROR(INDEX(Suppliers!$S$7:$S$106,MATCH(D374,Suppliers!$B$7:$B$106,0)),"")))</f>
        <v/>
      </c>
      <c r="N374" s="56" t="str">
        <f aca="false">IF(D374="","",IF(N(K374)&lt;=0,"Paid",IF(AND(ISNUMBER(M374),Setup!$C$11&gt;M374),"⚠ MSME late",IF(N(L374)&gt;0,"Overdue",IF(N(V374)&lt;=Setup!$C$9,"⚠ MSME due soon",IF(K374&lt;E374,"Part paid","Not due"))))))</f>
        <v/>
      </c>
      <c r="O374" s="50" t="str">
        <f aca="false">IF(AND(D374="",B374="",C374="",E374=""),"",IF(D374="","⚠ Pick supplier",IF(ISNA(MATCH(D374,Suppliers!$B$7:$B$106,0)),"⚠ Supplier not in list",IF(B374="","⚠ Enter bill date",IF(N(E374)&lt;=0,"⚠ Enter amount",IF(AND(C374&lt;&gt;"",COUNTIFS($D$8:$D$507,D374,$C$8:$C$507,C374)&gt;1),"⚠ Bill no. used twice",IF(N(I374)&gt;N(E374),"⚠ Paid more than bill","✔")))))))</f>
        <v/>
      </c>
      <c r="P374" s="9" t="n">
        <f aca="false">IF(D374="",0,MAX(0,N(E374)-N(I374)))</f>
        <v>0</v>
      </c>
      <c r="Q374" s="9" t="n">
        <f aca="false">IF(D374="",0,SUMIFS($P$8:$P$507,$D$8:$D$507,D374,$B$8:$B$507,"&lt;"&amp;B374)+SUMIFS($P$8:P373,$D$8:D373,D374,$B$8:B373,B374))</f>
        <v>0</v>
      </c>
      <c r="R374" s="9" t="n">
        <f aca="false">IF(D374="",0,IFERROR(INDEX(Suppliers!$R$7:$R$106,MATCH(D374,Suppliers!$B$7:$B$106,0)),0))</f>
        <v>0</v>
      </c>
      <c r="S374" s="9" t="str">
        <f aca="false">IF(N(K374)&gt;0,IF(H374="",99999,MIN(H374,IF(ISNUMBER(M374),M374,H374)))+ROW()/100000,"")</f>
        <v/>
      </c>
      <c r="U374" s="9" t="n">
        <f aca="false">IF(N(K374)&gt;0,N(L374),0)</f>
        <v>0</v>
      </c>
      <c r="V374" s="9" t="n">
        <f aca="false">IF(AND(N(K374)&gt;0,ISNUMBER(M374)),M374-Setup!$C$11,99999)</f>
        <v>99999</v>
      </c>
    </row>
    <row r="375" customFormat="false" ht="15" hidden="false" customHeight="false" outlineLevel="0" collapsed="false">
      <c r="A375" s="40" t="str">
        <f aca="false">IF(D375="","",ROW()-7)</f>
        <v/>
      </c>
      <c r="B375" s="79"/>
      <c r="C375" s="75"/>
      <c r="D375" s="76"/>
      <c r="E375" s="80"/>
      <c r="F375" s="79"/>
      <c r="G375" s="76"/>
      <c r="H375" s="54" t="str">
        <f aca="false">IF(OR(D375="",B375=""),"",IF(F375&lt;&gt;"",F375,B375+IFERROR(INDEX(Suppliers!$Q$7:$Q$106,MATCH(D375,Suppliers!$B$7:$B$106,0)),Setup!$C$7)))</f>
        <v/>
      </c>
      <c r="I375" s="46" t="str">
        <f aca="false">IF(OR(D375="",C375=""),IF(D375="","",0),SUMIFS(Payments!$D$8:$D$507,Payments!$C$8:$C$507,D375,Payments!$F$8:$F$507,C375))</f>
        <v/>
      </c>
      <c r="J375" s="46" t="str">
        <f aca="false">IF(D375="","",MIN(P375,MAX(0,R375-Q375)))</f>
        <v/>
      </c>
      <c r="K375" s="47" t="str">
        <f aca="false">IF(D375="","",P375-J375)</f>
        <v/>
      </c>
      <c r="L375" s="55" t="str">
        <f aca="false">IF(OR(D375="",N(K375)&lt;=0,H375=""),"",MAX(0,Setup!$C$11-H375))</f>
        <v/>
      </c>
      <c r="M375" s="54" t="str">
        <f aca="false">IF(OR(D375="",B375=""),"",IF(IFERROR(INDEX(Suppliers!$S$7:$S$106,MATCH(D375,Suppliers!$B$7:$B$106,0)),"")="","–",B375+IFERROR(INDEX(Suppliers!$S$7:$S$106,MATCH(D375,Suppliers!$B$7:$B$106,0)),"")))</f>
        <v/>
      </c>
      <c r="N375" s="56" t="str">
        <f aca="false">IF(D375="","",IF(N(K375)&lt;=0,"Paid",IF(AND(ISNUMBER(M375),Setup!$C$11&gt;M375),"⚠ MSME late",IF(N(L375)&gt;0,"Overdue",IF(N(V375)&lt;=Setup!$C$9,"⚠ MSME due soon",IF(K375&lt;E375,"Part paid","Not due"))))))</f>
        <v/>
      </c>
      <c r="O375" s="50" t="str">
        <f aca="false">IF(AND(D375="",B375="",C375="",E375=""),"",IF(D375="","⚠ Pick supplier",IF(ISNA(MATCH(D375,Suppliers!$B$7:$B$106,0)),"⚠ Supplier not in list",IF(B375="","⚠ Enter bill date",IF(N(E375)&lt;=0,"⚠ Enter amount",IF(AND(C375&lt;&gt;"",COUNTIFS($D$8:$D$507,D375,$C$8:$C$507,C375)&gt;1),"⚠ Bill no. used twice",IF(N(I375)&gt;N(E375),"⚠ Paid more than bill","✔")))))))</f>
        <v/>
      </c>
      <c r="P375" s="9" t="n">
        <f aca="false">IF(D375="",0,MAX(0,N(E375)-N(I375)))</f>
        <v>0</v>
      </c>
      <c r="Q375" s="9" t="n">
        <f aca="false">IF(D375="",0,SUMIFS($P$8:$P$507,$D$8:$D$507,D375,$B$8:$B$507,"&lt;"&amp;B375)+SUMIFS($P$8:P374,$D$8:D374,D375,$B$8:B374,B375))</f>
        <v>0</v>
      </c>
      <c r="R375" s="9" t="n">
        <f aca="false">IF(D375="",0,IFERROR(INDEX(Suppliers!$R$7:$R$106,MATCH(D375,Suppliers!$B$7:$B$106,0)),0))</f>
        <v>0</v>
      </c>
      <c r="S375" s="9" t="str">
        <f aca="false">IF(N(K375)&gt;0,IF(H375="",99999,MIN(H375,IF(ISNUMBER(M375),M375,H375)))+ROW()/100000,"")</f>
        <v/>
      </c>
      <c r="U375" s="9" t="n">
        <f aca="false">IF(N(K375)&gt;0,N(L375),0)</f>
        <v>0</v>
      </c>
      <c r="V375" s="9" t="n">
        <f aca="false">IF(AND(N(K375)&gt;0,ISNUMBER(M375)),M375-Setup!$C$11,99999)</f>
        <v>99999</v>
      </c>
    </row>
    <row r="376" customFormat="false" ht="15" hidden="false" customHeight="false" outlineLevel="0" collapsed="false">
      <c r="A376" s="40" t="str">
        <f aca="false">IF(D376="","",ROW()-7)</f>
        <v/>
      </c>
      <c r="B376" s="79"/>
      <c r="C376" s="75"/>
      <c r="D376" s="76"/>
      <c r="E376" s="80"/>
      <c r="F376" s="79"/>
      <c r="G376" s="76"/>
      <c r="H376" s="54" t="str">
        <f aca="false">IF(OR(D376="",B376=""),"",IF(F376&lt;&gt;"",F376,B376+IFERROR(INDEX(Suppliers!$Q$7:$Q$106,MATCH(D376,Suppliers!$B$7:$B$106,0)),Setup!$C$7)))</f>
        <v/>
      </c>
      <c r="I376" s="46" t="str">
        <f aca="false">IF(OR(D376="",C376=""),IF(D376="","",0),SUMIFS(Payments!$D$8:$D$507,Payments!$C$8:$C$507,D376,Payments!$F$8:$F$507,C376))</f>
        <v/>
      </c>
      <c r="J376" s="46" t="str">
        <f aca="false">IF(D376="","",MIN(P376,MAX(0,R376-Q376)))</f>
        <v/>
      </c>
      <c r="K376" s="47" t="str">
        <f aca="false">IF(D376="","",P376-J376)</f>
        <v/>
      </c>
      <c r="L376" s="55" t="str">
        <f aca="false">IF(OR(D376="",N(K376)&lt;=0,H376=""),"",MAX(0,Setup!$C$11-H376))</f>
        <v/>
      </c>
      <c r="M376" s="54" t="str">
        <f aca="false">IF(OR(D376="",B376=""),"",IF(IFERROR(INDEX(Suppliers!$S$7:$S$106,MATCH(D376,Suppliers!$B$7:$B$106,0)),"")="","–",B376+IFERROR(INDEX(Suppliers!$S$7:$S$106,MATCH(D376,Suppliers!$B$7:$B$106,0)),"")))</f>
        <v/>
      </c>
      <c r="N376" s="56" t="str">
        <f aca="false">IF(D376="","",IF(N(K376)&lt;=0,"Paid",IF(AND(ISNUMBER(M376),Setup!$C$11&gt;M376),"⚠ MSME late",IF(N(L376)&gt;0,"Overdue",IF(N(V376)&lt;=Setup!$C$9,"⚠ MSME due soon",IF(K376&lt;E376,"Part paid","Not due"))))))</f>
        <v/>
      </c>
      <c r="O376" s="50" t="str">
        <f aca="false">IF(AND(D376="",B376="",C376="",E376=""),"",IF(D376="","⚠ Pick supplier",IF(ISNA(MATCH(D376,Suppliers!$B$7:$B$106,0)),"⚠ Supplier not in list",IF(B376="","⚠ Enter bill date",IF(N(E376)&lt;=0,"⚠ Enter amount",IF(AND(C376&lt;&gt;"",COUNTIFS($D$8:$D$507,D376,$C$8:$C$507,C376)&gt;1),"⚠ Bill no. used twice",IF(N(I376)&gt;N(E376),"⚠ Paid more than bill","✔")))))))</f>
        <v/>
      </c>
      <c r="P376" s="9" t="n">
        <f aca="false">IF(D376="",0,MAX(0,N(E376)-N(I376)))</f>
        <v>0</v>
      </c>
      <c r="Q376" s="9" t="n">
        <f aca="false">IF(D376="",0,SUMIFS($P$8:$P$507,$D$8:$D$507,D376,$B$8:$B$507,"&lt;"&amp;B376)+SUMIFS($P$8:P375,$D$8:D375,D376,$B$8:B375,B376))</f>
        <v>0</v>
      </c>
      <c r="R376" s="9" t="n">
        <f aca="false">IF(D376="",0,IFERROR(INDEX(Suppliers!$R$7:$R$106,MATCH(D376,Suppliers!$B$7:$B$106,0)),0))</f>
        <v>0</v>
      </c>
      <c r="S376" s="9" t="str">
        <f aca="false">IF(N(K376)&gt;0,IF(H376="",99999,MIN(H376,IF(ISNUMBER(M376),M376,H376)))+ROW()/100000,"")</f>
        <v/>
      </c>
      <c r="U376" s="9" t="n">
        <f aca="false">IF(N(K376)&gt;0,N(L376),0)</f>
        <v>0</v>
      </c>
      <c r="V376" s="9" t="n">
        <f aca="false">IF(AND(N(K376)&gt;0,ISNUMBER(M376)),M376-Setup!$C$11,99999)</f>
        <v>99999</v>
      </c>
    </row>
    <row r="377" customFormat="false" ht="15" hidden="false" customHeight="false" outlineLevel="0" collapsed="false">
      <c r="A377" s="40" t="str">
        <f aca="false">IF(D377="","",ROW()-7)</f>
        <v/>
      </c>
      <c r="B377" s="79"/>
      <c r="C377" s="75"/>
      <c r="D377" s="76"/>
      <c r="E377" s="80"/>
      <c r="F377" s="79"/>
      <c r="G377" s="76"/>
      <c r="H377" s="54" t="str">
        <f aca="false">IF(OR(D377="",B377=""),"",IF(F377&lt;&gt;"",F377,B377+IFERROR(INDEX(Suppliers!$Q$7:$Q$106,MATCH(D377,Suppliers!$B$7:$B$106,0)),Setup!$C$7)))</f>
        <v/>
      </c>
      <c r="I377" s="46" t="str">
        <f aca="false">IF(OR(D377="",C377=""),IF(D377="","",0),SUMIFS(Payments!$D$8:$D$507,Payments!$C$8:$C$507,D377,Payments!$F$8:$F$507,C377))</f>
        <v/>
      </c>
      <c r="J377" s="46" t="str">
        <f aca="false">IF(D377="","",MIN(P377,MAX(0,R377-Q377)))</f>
        <v/>
      </c>
      <c r="K377" s="47" t="str">
        <f aca="false">IF(D377="","",P377-J377)</f>
        <v/>
      </c>
      <c r="L377" s="55" t="str">
        <f aca="false">IF(OR(D377="",N(K377)&lt;=0,H377=""),"",MAX(0,Setup!$C$11-H377))</f>
        <v/>
      </c>
      <c r="M377" s="54" t="str">
        <f aca="false">IF(OR(D377="",B377=""),"",IF(IFERROR(INDEX(Suppliers!$S$7:$S$106,MATCH(D377,Suppliers!$B$7:$B$106,0)),"")="","–",B377+IFERROR(INDEX(Suppliers!$S$7:$S$106,MATCH(D377,Suppliers!$B$7:$B$106,0)),"")))</f>
        <v/>
      </c>
      <c r="N377" s="56" t="str">
        <f aca="false">IF(D377="","",IF(N(K377)&lt;=0,"Paid",IF(AND(ISNUMBER(M377),Setup!$C$11&gt;M377),"⚠ MSME late",IF(N(L377)&gt;0,"Overdue",IF(N(V377)&lt;=Setup!$C$9,"⚠ MSME due soon",IF(K377&lt;E377,"Part paid","Not due"))))))</f>
        <v/>
      </c>
      <c r="O377" s="50" t="str">
        <f aca="false">IF(AND(D377="",B377="",C377="",E377=""),"",IF(D377="","⚠ Pick supplier",IF(ISNA(MATCH(D377,Suppliers!$B$7:$B$106,0)),"⚠ Supplier not in list",IF(B377="","⚠ Enter bill date",IF(N(E377)&lt;=0,"⚠ Enter amount",IF(AND(C377&lt;&gt;"",COUNTIFS($D$8:$D$507,D377,$C$8:$C$507,C377)&gt;1),"⚠ Bill no. used twice",IF(N(I377)&gt;N(E377),"⚠ Paid more than bill","✔")))))))</f>
        <v/>
      </c>
      <c r="P377" s="9" t="n">
        <f aca="false">IF(D377="",0,MAX(0,N(E377)-N(I377)))</f>
        <v>0</v>
      </c>
      <c r="Q377" s="9" t="n">
        <f aca="false">IF(D377="",0,SUMIFS($P$8:$P$507,$D$8:$D$507,D377,$B$8:$B$507,"&lt;"&amp;B377)+SUMIFS($P$8:P376,$D$8:D376,D377,$B$8:B376,B377))</f>
        <v>0</v>
      </c>
      <c r="R377" s="9" t="n">
        <f aca="false">IF(D377="",0,IFERROR(INDEX(Suppliers!$R$7:$R$106,MATCH(D377,Suppliers!$B$7:$B$106,0)),0))</f>
        <v>0</v>
      </c>
      <c r="S377" s="9" t="str">
        <f aca="false">IF(N(K377)&gt;0,IF(H377="",99999,MIN(H377,IF(ISNUMBER(M377),M377,H377)))+ROW()/100000,"")</f>
        <v/>
      </c>
      <c r="U377" s="9" t="n">
        <f aca="false">IF(N(K377)&gt;0,N(L377),0)</f>
        <v>0</v>
      </c>
      <c r="V377" s="9" t="n">
        <f aca="false">IF(AND(N(K377)&gt;0,ISNUMBER(M377)),M377-Setup!$C$11,99999)</f>
        <v>99999</v>
      </c>
    </row>
    <row r="378" customFormat="false" ht="15" hidden="false" customHeight="false" outlineLevel="0" collapsed="false">
      <c r="A378" s="40" t="str">
        <f aca="false">IF(D378="","",ROW()-7)</f>
        <v/>
      </c>
      <c r="B378" s="79"/>
      <c r="C378" s="75"/>
      <c r="D378" s="76"/>
      <c r="E378" s="80"/>
      <c r="F378" s="79"/>
      <c r="G378" s="76"/>
      <c r="H378" s="54" t="str">
        <f aca="false">IF(OR(D378="",B378=""),"",IF(F378&lt;&gt;"",F378,B378+IFERROR(INDEX(Suppliers!$Q$7:$Q$106,MATCH(D378,Suppliers!$B$7:$B$106,0)),Setup!$C$7)))</f>
        <v/>
      </c>
      <c r="I378" s="46" t="str">
        <f aca="false">IF(OR(D378="",C378=""),IF(D378="","",0),SUMIFS(Payments!$D$8:$D$507,Payments!$C$8:$C$507,D378,Payments!$F$8:$F$507,C378))</f>
        <v/>
      </c>
      <c r="J378" s="46" t="str">
        <f aca="false">IF(D378="","",MIN(P378,MAX(0,R378-Q378)))</f>
        <v/>
      </c>
      <c r="K378" s="47" t="str">
        <f aca="false">IF(D378="","",P378-J378)</f>
        <v/>
      </c>
      <c r="L378" s="55" t="str">
        <f aca="false">IF(OR(D378="",N(K378)&lt;=0,H378=""),"",MAX(0,Setup!$C$11-H378))</f>
        <v/>
      </c>
      <c r="M378" s="54" t="str">
        <f aca="false">IF(OR(D378="",B378=""),"",IF(IFERROR(INDEX(Suppliers!$S$7:$S$106,MATCH(D378,Suppliers!$B$7:$B$106,0)),"")="","–",B378+IFERROR(INDEX(Suppliers!$S$7:$S$106,MATCH(D378,Suppliers!$B$7:$B$106,0)),"")))</f>
        <v/>
      </c>
      <c r="N378" s="56" t="str">
        <f aca="false">IF(D378="","",IF(N(K378)&lt;=0,"Paid",IF(AND(ISNUMBER(M378),Setup!$C$11&gt;M378),"⚠ MSME late",IF(N(L378)&gt;0,"Overdue",IF(N(V378)&lt;=Setup!$C$9,"⚠ MSME due soon",IF(K378&lt;E378,"Part paid","Not due"))))))</f>
        <v/>
      </c>
      <c r="O378" s="50" t="str">
        <f aca="false">IF(AND(D378="",B378="",C378="",E378=""),"",IF(D378="","⚠ Pick supplier",IF(ISNA(MATCH(D378,Suppliers!$B$7:$B$106,0)),"⚠ Supplier not in list",IF(B378="","⚠ Enter bill date",IF(N(E378)&lt;=0,"⚠ Enter amount",IF(AND(C378&lt;&gt;"",COUNTIFS($D$8:$D$507,D378,$C$8:$C$507,C378)&gt;1),"⚠ Bill no. used twice",IF(N(I378)&gt;N(E378),"⚠ Paid more than bill","✔")))))))</f>
        <v/>
      </c>
      <c r="P378" s="9" t="n">
        <f aca="false">IF(D378="",0,MAX(0,N(E378)-N(I378)))</f>
        <v>0</v>
      </c>
      <c r="Q378" s="9" t="n">
        <f aca="false">IF(D378="",0,SUMIFS($P$8:$P$507,$D$8:$D$507,D378,$B$8:$B$507,"&lt;"&amp;B378)+SUMIFS($P$8:P377,$D$8:D377,D378,$B$8:B377,B378))</f>
        <v>0</v>
      </c>
      <c r="R378" s="9" t="n">
        <f aca="false">IF(D378="",0,IFERROR(INDEX(Suppliers!$R$7:$R$106,MATCH(D378,Suppliers!$B$7:$B$106,0)),0))</f>
        <v>0</v>
      </c>
      <c r="S378" s="9" t="str">
        <f aca="false">IF(N(K378)&gt;0,IF(H378="",99999,MIN(H378,IF(ISNUMBER(M378),M378,H378)))+ROW()/100000,"")</f>
        <v/>
      </c>
      <c r="U378" s="9" t="n">
        <f aca="false">IF(N(K378)&gt;0,N(L378),0)</f>
        <v>0</v>
      </c>
      <c r="V378" s="9" t="n">
        <f aca="false">IF(AND(N(K378)&gt;0,ISNUMBER(M378)),M378-Setup!$C$11,99999)</f>
        <v>99999</v>
      </c>
    </row>
    <row r="379" customFormat="false" ht="15" hidden="false" customHeight="false" outlineLevel="0" collapsed="false">
      <c r="A379" s="40" t="str">
        <f aca="false">IF(D379="","",ROW()-7)</f>
        <v/>
      </c>
      <c r="B379" s="79"/>
      <c r="C379" s="75"/>
      <c r="D379" s="76"/>
      <c r="E379" s="80"/>
      <c r="F379" s="79"/>
      <c r="G379" s="76"/>
      <c r="H379" s="54" t="str">
        <f aca="false">IF(OR(D379="",B379=""),"",IF(F379&lt;&gt;"",F379,B379+IFERROR(INDEX(Suppliers!$Q$7:$Q$106,MATCH(D379,Suppliers!$B$7:$B$106,0)),Setup!$C$7)))</f>
        <v/>
      </c>
      <c r="I379" s="46" t="str">
        <f aca="false">IF(OR(D379="",C379=""),IF(D379="","",0),SUMIFS(Payments!$D$8:$D$507,Payments!$C$8:$C$507,D379,Payments!$F$8:$F$507,C379))</f>
        <v/>
      </c>
      <c r="J379" s="46" t="str">
        <f aca="false">IF(D379="","",MIN(P379,MAX(0,R379-Q379)))</f>
        <v/>
      </c>
      <c r="K379" s="47" t="str">
        <f aca="false">IF(D379="","",P379-J379)</f>
        <v/>
      </c>
      <c r="L379" s="55" t="str">
        <f aca="false">IF(OR(D379="",N(K379)&lt;=0,H379=""),"",MAX(0,Setup!$C$11-H379))</f>
        <v/>
      </c>
      <c r="M379" s="54" t="str">
        <f aca="false">IF(OR(D379="",B379=""),"",IF(IFERROR(INDEX(Suppliers!$S$7:$S$106,MATCH(D379,Suppliers!$B$7:$B$106,0)),"")="","–",B379+IFERROR(INDEX(Suppliers!$S$7:$S$106,MATCH(D379,Suppliers!$B$7:$B$106,0)),"")))</f>
        <v/>
      </c>
      <c r="N379" s="56" t="str">
        <f aca="false">IF(D379="","",IF(N(K379)&lt;=0,"Paid",IF(AND(ISNUMBER(M379),Setup!$C$11&gt;M379),"⚠ MSME late",IF(N(L379)&gt;0,"Overdue",IF(N(V379)&lt;=Setup!$C$9,"⚠ MSME due soon",IF(K379&lt;E379,"Part paid","Not due"))))))</f>
        <v/>
      </c>
      <c r="O379" s="50" t="str">
        <f aca="false">IF(AND(D379="",B379="",C379="",E379=""),"",IF(D379="","⚠ Pick supplier",IF(ISNA(MATCH(D379,Suppliers!$B$7:$B$106,0)),"⚠ Supplier not in list",IF(B379="","⚠ Enter bill date",IF(N(E379)&lt;=0,"⚠ Enter amount",IF(AND(C379&lt;&gt;"",COUNTIFS($D$8:$D$507,D379,$C$8:$C$507,C379)&gt;1),"⚠ Bill no. used twice",IF(N(I379)&gt;N(E379),"⚠ Paid more than bill","✔")))))))</f>
        <v/>
      </c>
      <c r="P379" s="9" t="n">
        <f aca="false">IF(D379="",0,MAX(0,N(E379)-N(I379)))</f>
        <v>0</v>
      </c>
      <c r="Q379" s="9" t="n">
        <f aca="false">IF(D379="",0,SUMIFS($P$8:$P$507,$D$8:$D$507,D379,$B$8:$B$507,"&lt;"&amp;B379)+SUMIFS($P$8:P378,$D$8:D378,D379,$B$8:B378,B379))</f>
        <v>0</v>
      </c>
      <c r="R379" s="9" t="n">
        <f aca="false">IF(D379="",0,IFERROR(INDEX(Suppliers!$R$7:$R$106,MATCH(D379,Suppliers!$B$7:$B$106,0)),0))</f>
        <v>0</v>
      </c>
      <c r="S379" s="9" t="str">
        <f aca="false">IF(N(K379)&gt;0,IF(H379="",99999,MIN(H379,IF(ISNUMBER(M379),M379,H379)))+ROW()/100000,"")</f>
        <v/>
      </c>
      <c r="U379" s="9" t="n">
        <f aca="false">IF(N(K379)&gt;0,N(L379),0)</f>
        <v>0</v>
      </c>
      <c r="V379" s="9" t="n">
        <f aca="false">IF(AND(N(K379)&gt;0,ISNUMBER(M379)),M379-Setup!$C$11,99999)</f>
        <v>99999</v>
      </c>
    </row>
    <row r="380" customFormat="false" ht="15" hidden="false" customHeight="false" outlineLevel="0" collapsed="false">
      <c r="A380" s="40" t="str">
        <f aca="false">IF(D380="","",ROW()-7)</f>
        <v/>
      </c>
      <c r="B380" s="79"/>
      <c r="C380" s="75"/>
      <c r="D380" s="76"/>
      <c r="E380" s="80"/>
      <c r="F380" s="79"/>
      <c r="G380" s="76"/>
      <c r="H380" s="54" t="str">
        <f aca="false">IF(OR(D380="",B380=""),"",IF(F380&lt;&gt;"",F380,B380+IFERROR(INDEX(Suppliers!$Q$7:$Q$106,MATCH(D380,Suppliers!$B$7:$B$106,0)),Setup!$C$7)))</f>
        <v/>
      </c>
      <c r="I380" s="46" t="str">
        <f aca="false">IF(OR(D380="",C380=""),IF(D380="","",0),SUMIFS(Payments!$D$8:$D$507,Payments!$C$8:$C$507,D380,Payments!$F$8:$F$507,C380))</f>
        <v/>
      </c>
      <c r="J380" s="46" t="str">
        <f aca="false">IF(D380="","",MIN(P380,MAX(0,R380-Q380)))</f>
        <v/>
      </c>
      <c r="K380" s="47" t="str">
        <f aca="false">IF(D380="","",P380-J380)</f>
        <v/>
      </c>
      <c r="L380" s="55" t="str">
        <f aca="false">IF(OR(D380="",N(K380)&lt;=0,H380=""),"",MAX(0,Setup!$C$11-H380))</f>
        <v/>
      </c>
      <c r="M380" s="54" t="str">
        <f aca="false">IF(OR(D380="",B380=""),"",IF(IFERROR(INDEX(Suppliers!$S$7:$S$106,MATCH(D380,Suppliers!$B$7:$B$106,0)),"")="","–",B380+IFERROR(INDEX(Suppliers!$S$7:$S$106,MATCH(D380,Suppliers!$B$7:$B$106,0)),"")))</f>
        <v/>
      </c>
      <c r="N380" s="56" t="str">
        <f aca="false">IF(D380="","",IF(N(K380)&lt;=0,"Paid",IF(AND(ISNUMBER(M380),Setup!$C$11&gt;M380),"⚠ MSME late",IF(N(L380)&gt;0,"Overdue",IF(N(V380)&lt;=Setup!$C$9,"⚠ MSME due soon",IF(K380&lt;E380,"Part paid","Not due"))))))</f>
        <v/>
      </c>
      <c r="O380" s="50" t="str">
        <f aca="false">IF(AND(D380="",B380="",C380="",E380=""),"",IF(D380="","⚠ Pick supplier",IF(ISNA(MATCH(D380,Suppliers!$B$7:$B$106,0)),"⚠ Supplier not in list",IF(B380="","⚠ Enter bill date",IF(N(E380)&lt;=0,"⚠ Enter amount",IF(AND(C380&lt;&gt;"",COUNTIFS($D$8:$D$507,D380,$C$8:$C$507,C380)&gt;1),"⚠ Bill no. used twice",IF(N(I380)&gt;N(E380),"⚠ Paid more than bill","✔")))))))</f>
        <v/>
      </c>
      <c r="P380" s="9" t="n">
        <f aca="false">IF(D380="",0,MAX(0,N(E380)-N(I380)))</f>
        <v>0</v>
      </c>
      <c r="Q380" s="9" t="n">
        <f aca="false">IF(D380="",0,SUMIFS($P$8:$P$507,$D$8:$D$507,D380,$B$8:$B$507,"&lt;"&amp;B380)+SUMIFS($P$8:P379,$D$8:D379,D380,$B$8:B379,B380))</f>
        <v>0</v>
      </c>
      <c r="R380" s="9" t="n">
        <f aca="false">IF(D380="",0,IFERROR(INDEX(Suppliers!$R$7:$R$106,MATCH(D380,Suppliers!$B$7:$B$106,0)),0))</f>
        <v>0</v>
      </c>
      <c r="S380" s="9" t="str">
        <f aca="false">IF(N(K380)&gt;0,IF(H380="",99999,MIN(H380,IF(ISNUMBER(M380),M380,H380)))+ROW()/100000,"")</f>
        <v/>
      </c>
      <c r="U380" s="9" t="n">
        <f aca="false">IF(N(K380)&gt;0,N(L380),0)</f>
        <v>0</v>
      </c>
      <c r="V380" s="9" t="n">
        <f aca="false">IF(AND(N(K380)&gt;0,ISNUMBER(M380)),M380-Setup!$C$11,99999)</f>
        <v>99999</v>
      </c>
    </row>
    <row r="381" customFormat="false" ht="15" hidden="false" customHeight="false" outlineLevel="0" collapsed="false">
      <c r="A381" s="40" t="str">
        <f aca="false">IF(D381="","",ROW()-7)</f>
        <v/>
      </c>
      <c r="B381" s="79"/>
      <c r="C381" s="75"/>
      <c r="D381" s="76"/>
      <c r="E381" s="80"/>
      <c r="F381" s="79"/>
      <c r="G381" s="76"/>
      <c r="H381" s="54" t="str">
        <f aca="false">IF(OR(D381="",B381=""),"",IF(F381&lt;&gt;"",F381,B381+IFERROR(INDEX(Suppliers!$Q$7:$Q$106,MATCH(D381,Suppliers!$B$7:$B$106,0)),Setup!$C$7)))</f>
        <v/>
      </c>
      <c r="I381" s="46" t="str">
        <f aca="false">IF(OR(D381="",C381=""),IF(D381="","",0),SUMIFS(Payments!$D$8:$D$507,Payments!$C$8:$C$507,D381,Payments!$F$8:$F$507,C381))</f>
        <v/>
      </c>
      <c r="J381" s="46" t="str">
        <f aca="false">IF(D381="","",MIN(P381,MAX(0,R381-Q381)))</f>
        <v/>
      </c>
      <c r="K381" s="47" t="str">
        <f aca="false">IF(D381="","",P381-J381)</f>
        <v/>
      </c>
      <c r="L381" s="55" t="str">
        <f aca="false">IF(OR(D381="",N(K381)&lt;=0,H381=""),"",MAX(0,Setup!$C$11-H381))</f>
        <v/>
      </c>
      <c r="M381" s="54" t="str">
        <f aca="false">IF(OR(D381="",B381=""),"",IF(IFERROR(INDEX(Suppliers!$S$7:$S$106,MATCH(D381,Suppliers!$B$7:$B$106,0)),"")="","–",B381+IFERROR(INDEX(Suppliers!$S$7:$S$106,MATCH(D381,Suppliers!$B$7:$B$106,0)),"")))</f>
        <v/>
      </c>
      <c r="N381" s="56" t="str">
        <f aca="false">IF(D381="","",IF(N(K381)&lt;=0,"Paid",IF(AND(ISNUMBER(M381),Setup!$C$11&gt;M381),"⚠ MSME late",IF(N(L381)&gt;0,"Overdue",IF(N(V381)&lt;=Setup!$C$9,"⚠ MSME due soon",IF(K381&lt;E381,"Part paid","Not due"))))))</f>
        <v/>
      </c>
      <c r="O381" s="50" t="str">
        <f aca="false">IF(AND(D381="",B381="",C381="",E381=""),"",IF(D381="","⚠ Pick supplier",IF(ISNA(MATCH(D381,Suppliers!$B$7:$B$106,0)),"⚠ Supplier not in list",IF(B381="","⚠ Enter bill date",IF(N(E381)&lt;=0,"⚠ Enter amount",IF(AND(C381&lt;&gt;"",COUNTIFS($D$8:$D$507,D381,$C$8:$C$507,C381)&gt;1),"⚠ Bill no. used twice",IF(N(I381)&gt;N(E381),"⚠ Paid more than bill","✔")))))))</f>
        <v/>
      </c>
      <c r="P381" s="9" t="n">
        <f aca="false">IF(D381="",0,MAX(0,N(E381)-N(I381)))</f>
        <v>0</v>
      </c>
      <c r="Q381" s="9" t="n">
        <f aca="false">IF(D381="",0,SUMIFS($P$8:$P$507,$D$8:$D$507,D381,$B$8:$B$507,"&lt;"&amp;B381)+SUMIFS($P$8:P380,$D$8:D380,D381,$B$8:B380,B381))</f>
        <v>0</v>
      </c>
      <c r="R381" s="9" t="n">
        <f aca="false">IF(D381="",0,IFERROR(INDEX(Suppliers!$R$7:$R$106,MATCH(D381,Suppliers!$B$7:$B$106,0)),0))</f>
        <v>0</v>
      </c>
      <c r="S381" s="9" t="str">
        <f aca="false">IF(N(K381)&gt;0,IF(H381="",99999,MIN(H381,IF(ISNUMBER(M381),M381,H381)))+ROW()/100000,"")</f>
        <v/>
      </c>
      <c r="U381" s="9" t="n">
        <f aca="false">IF(N(K381)&gt;0,N(L381),0)</f>
        <v>0</v>
      </c>
      <c r="V381" s="9" t="n">
        <f aca="false">IF(AND(N(K381)&gt;0,ISNUMBER(M381)),M381-Setup!$C$11,99999)</f>
        <v>99999</v>
      </c>
    </row>
    <row r="382" customFormat="false" ht="15" hidden="false" customHeight="false" outlineLevel="0" collapsed="false">
      <c r="A382" s="40" t="str">
        <f aca="false">IF(D382="","",ROW()-7)</f>
        <v/>
      </c>
      <c r="B382" s="79"/>
      <c r="C382" s="75"/>
      <c r="D382" s="76"/>
      <c r="E382" s="80"/>
      <c r="F382" s="79"/>
      <c r="G382" s="76"/>
      <c r="H382" s="54" t="str">
        <f aca="false">IF(OR(D382="",B382=""),"",IF(F382&lt;&gt;"",F382,B382+IFERROR(INDEX(Suppliers!$Q$7:$Q$106,MATCH(D382,Suppliers!$B$7:$B$106,0)),Setup!$C$7)))</f>
        <v/>
      </c>
      <c r="I382" s="46" t="str">
        <f aca="false">IF(OR(D382="",C382=""),IF(D382="","",0),SUMIFS(Payments!$D$8:$D$507,Payments!$C$8:$C$507,D382,Payments!$F$8:$F$507,C382))</f>
        <v/>
      </c>
      <c r="J382" s="46" t="str">
        <f aca="false">IF(D382="","",MIN(P382,MAX(0,R382-Q382)))</f>
        <v/>
      </c>
      <c r="K382" s="47" t="str">
        <f aca="false">IF(D382="","",P382-J382)</f>
        <v/>
      </c>
      <c r="L382" s="55" t="str">
        <f aca="false">IF(OR(D382="",N(K382)&lt;=0,H382=""),"",MAX(0,Setup!$C$11-H382))</f>
        <v/>
      </c>
      <c r="M382" s="54" t="str">
        <f aca="false">IF(OR(D382="",B382=""),"",IF(IFERROR(INDEX(Suppliers!$S$7:$S$106,MATCH(D382,Suppliers!$B$7:$B$106,0)),"")="","–",B382+IFERROR(INDEX(Suppliers!$S$7:$S$106,MATCH(D382,Suppliers!$B$7:$B$106,0)),"")))</f>
        <v/>
      </c>
      <c r="N382" s="56" t="str">
        <f aca="false">IF(D382="","",IF(N(K382)&lt;=0,"Paid",IF(AND(ISNUMBER(M382),Setup!$C$11&gt;M382),"⚠ MSME late",IF(N(L382)&gt;0,"Overdue",IF(N(V382)&lt;=Setup!$C$9,"⚠ MSME due soon",IF(K382&lt;E382,"Part paid","Not due"))))))</f>
        <v/>
      </c>
      <c r="O382" s="50" t="str">
        <f aca="false">IF(AND(D382="",B382="",C382="",E382=""),"",IF(D382="","⚠ Pick supplier",IF(ISNA(MATCH(D382,Suppliers!$B$7:$B$106,0)),"⚠ Supplier not in list",IF(B382="","⚠ Enter bill date",IF(N(E382)&lt;=0,"⚠ Enter amount",IF(AND(C382&lt;&gt;"",COUNTIFS($D$8:$D$507,D382,$C$8:$C$507,C382)&gt;1),"⚠ Bill no. used twice",IF(N(I382)&gt;N(E382),"⚠ Paid more than bill","✔")))))))</f>
        <v/>
      </c>
      <c r="P382" s="9" t="n">
        <f aca="false">IF(D382="",0,MAX(0,N(E382)-N(I382)))</f>
        <v>0</v>
      </c>
      <c r="Q382" s="9" t="n">
        <f aca="false">IF(D382="",0,SUMIFS($P$8:$P$507,$D$8:$D$507,D382,$B$8:$B$507,"&lt;"&amp;B382)+SUMIFS($P$8:P381,$D$8:D381,D382,$B$8:B381,B382))</f>
        <v>0</v>
      </c>
      <c r="R382" s="9" t="n">
        <f aca="false">IF(D382="",0,IFERROR(INDEX(Suppliers!$R$7:$R$106,MATCH(D382,Suppliers!$B$7:$B$106,0)),0))</f>
        <v>0</v>
      </c>
      <c r="S382" s="9" t="str">
        <f aca="false">IF(N(K382)&gt;0,IF(H382="",99999,MIN(H382,IF(ISNUMBER(M382),M382,H382)))+ROW()/100000,"")</f>
        <v/>
      </c>
      <c r="U382" s="9" t="n">
        <f aca="false">IF(N(K382)&gt;0,N(L382),0)</f>
        <v>0</v>
      </c>
      <c r="V382" s="9" t="n">
        <f aca="false">IF(AND(N(K382)&gt;0,ISNUMBER(M382)),M382-Setup!$C$11,99999)</f>
        <v>99999</v>
      </c>
    </row>
    <row r="383" customFormat="false" ht="15" hidden="false" customHeight="false" outlineLevel="0" collapsed="false">
      <c r="A383" s="40" t="str">
        <f aca="false">IF(D383="","",ROW()-7)</f>
        <v/>
      </c>
      <c r="B383" s="79"/>
      <c r="C383" s="75"/>
      <c r="D383" s="76"/>
      <c r="E383" s="80"/>
      <c r="F383" s="79"/>
      <c r="G383" s="76"/>
      <c r="H383" s="54" t="str">
        <f aca="false">IF(OR(D383="",B383=""),"",IF(F383&lt;&gt;"",F383,B383+IFERROR(INDEX(Suppliers!$Q$7:$Q$106,MATCH(D383,Suppliers!$B$7:$B$106,0)),Setup!$C$7)))</f>
        <v/>
      </c>
      <c r="I383" s="46" t="str">
        <f aca="false">IF(OR(D383="",C383=""),IF(D383="","",0),SUMIFS(Payments!$D$8:$D$507,Payments!$C$8:$C$507,D383,Payments!$F$8:$F$507,C383))</f>
        <v/>
      </c>
      <c r="J383" s="46" t="str">
        <f aca="false">IF(D383="","",MIN(P383,MAX(0,R383-Q383)))</f>
        <v/>
      </c>
      <c r="K383" s="47" t="str">
        <f aca="false">IF(D383="","",P383-J383)</f>
        <v/>
      </c>
      <c r="L383" s="55" t="str">
        <f aca="false">IF(OR(D383="",N(K383)&lt;=0,H383=""),"",MAX(0,Setup!$C$11-H383))</f>
        <v/>
      </c>
      <c r="M383" s="54" t="str">
        <f aca="false">IF(OR(D383="",B383=""),"",IF(IFERROR(INDEX(Suppliers!$S$7:$S$106,MATCH(D383,Suppliers!$B$7:$B$106,0)),"")="","–",B383+IFERROR(INDEX(Suppliers!$S$7:$S$106,MATCH(D383,Suppliers!$B$7:$B$106,0)),"")))</f>
        <v/>
      </c>
      <c r="N383" s="56" t="str">
        <f aca="false">IF(D383="","",IF(N(K383)&lt;=0,"Paid",IF(AND(ISNUMBER(M383),Setup!$C$11&gt;M383),"⚠ MSME late",IF(N(L383)&gt;0,"Overdue",IF(N(V383)&lt;=Setup!$C$9,"⚠ MSME due soon",IF(K383&lt;E383,"Part paid","Not due"))))))</f>
        <v/>
      </c>
      <c r="O383" s="50" t="str">
        <f aca="false">IF(AND(D383="",B383="",C383="",E383=""),"",IF(D383="","⚠ Pick supplier",IF(ISNA(MATCH(D383,Suppliers!$B$7:$B$106,0)),"⚠ Supplier not in list",IF(B383="","⚠ Enter bill date",IF(N(E383)&lt;=0,"⚠ Enter amount",IF(AND(C383&lt;&gt;"",COUNTIFS($D$8:$D$507,D383,$C$8:$C$507,C383)&gt;1),"⚠ Bill no. used twice",IF(N(I383)&gt;N(E383),"⚠ Paid more than bill","✔")))))))</f>
        <v/>
      </c>
      <c r="P383" s="9" t="n">
        <f aca="false">IF(D383="",0,MAX(0,N(E383)-N(I383)))</f>
        <v>0</v>
      </c>
      <c r="Q383" s="9" t="n">
        <f aca="false">IF(D383="",0,SUMIFS($P$8:$P$507,$D$8:$D$507,D383,$B$8:$B$507,"&lt;"&amp;B383)+SUMIFS($P$8:P382,$D$8:D382,D383,$B$8:B382,B383))</f>
        <v>0</v>
      </c>
      <c r="R383" s="9" t="n">
        <f aca="false">IF(D383="",0,IFERROR(INDEX(Suppliers!$R$7:$R$106,MATCH(D383,Suppliers!$B$7:$B$106,0)),0))</f>
        <v>0</v>
      </c>
      <c r="S383" s="9" t="str">
        <f aca="false">IF(N(K383)&gt;0,IF(H383="",99999,MIN(H383,IF(ISNUMBER(M383),M383,H383)))+ROW()/100000,"")</f>
        <v/>
      </c>
      <c r="U383" s="9" t="n">
        <f aca="false">IF(N(K383)&gt;0,N(L383),0)</f>
        <v>0</v>
      </c>
      <c r="V383" s="9" t="n">
        <f aca="false">IF(AND(N(K383)&gt;0,ISNUMBER(M383)),M383-Setup!$C$11,99999)</f>
        <v>99999</v>
      </c>
    </row>
    <row r="384" customFormat="false" ht="15" hidden="false" customHeight="false" outlineLevel="0" collapsed="false">
      <c r="A384" s="40" t="str">
        <f aca="false">IF(D384="","",ROW()-7)</f>
        <v/>
      </c>
      <c r="B384" s="79"/>
      <c r="C384" s="75"/>
      <c r="D384" s="76"/>
      <c r="E384" s="80"/>
      <c r="F384" s="79"/>
      <c r="G384" s="76"/>
      <c r="H384" s="54" t="str">
        <f aca="false">IF(OR(D384="",B384=""),"",IF(F384&lt;&gt;"",F384,B384+IFERROR(INDEX(Suppliers!$Q$7:$Q$106,MATCH(D384,Suppliers!$B$7:$B$106,0)),Setup!$C$7)))</f>
        <v/>
      </c>
      <c r="I384" s="46" t="str">
        <f aca="false">IF(OR(D384="",C384=""),IF(D384="","",0),SUMIFS(Payments!$D$8:$D$507,Payments!$C$8:$C$507,D384,Payments!$F$8:$F$507,C384))</f>
        <v/>
      </c>
      <c r="J384" s="46" t="str">
        <f aca="false">IF(D384="","",MIN(P384,MAX(0,R384-Q384)))</f>
        <v/>
      </c>
      <c r="K384" s="47" t="str">
        <f aca="false">IF(D384="","",P384-J384)</f>
        <v/>
      </c>
      <c r="L384" s="55" t="str">
        <f aca="false">IF(OR(D384="",N(K384)&lt;=0,H384=""),"",MAX(0,Setup!$C$11-H384))</f>
        <v/>
      </c>
      <c r="M384" s="54" t="str">
        <f aca="false">IF(OR(D384="",B384=""),"",IF(IFERROR(INDEX(Suppliers!$S$7:$S$106,MATCH(D384,Suppliers!$B$7:$B$106,0)),"")="","–",B384+IFERROR(INDEX(Suppliers!$S$7:$S$106,MATCH(D384,Suppliers!$B$7:$B$106,0)),"")))</f>
        <v/>
      </c>
      <c r="N384" s="56" t="str">
        <f aca="false">IF(D384="","",IF(N(K384)&lt;=0,"Paid",IF(AND(ISNUMBER(M384),Setup!$C$11&gt;M384),"⚠ MSME late",IF(N(L384)&gt;0,"Overdue",IF(N(V384)&lt;=Setup!$C$9,"⚠ MSME due soon",IF(K384&lt;E384,"Part paid","Not due"))))))</f>
        <v/>
      </c>
      <c r="O384" s="50" t="str">
        <f aca="false">IF(AND(D384="",B384="",C384="",E384=""),"",IF(D384="","⚠ Pick supplier",IF(ISNA(MATCH(D384,Suppliers!$B$7:$B$106,0)),"⚠ Supplier not in list",IF(B384="","⚠ Enter bill date",IF(N(E384)&lt;=0,"⚠ Enter amount",IF(AND(C384&lt;&gt;"",COUNTIFS($D$8:$D$507,D384,$C$8:$C$507,C384)&gt;1),"⚠ Bill no. used twice",IF(N(I384)&gt;N(E384),"⚠ Paid more than bill","✔")))))))</f>
        <v/>
      </c>
      <c r="P384" s="9" t="n">
        <f aca="false">IF(D384="",0,MAX(0,N(E384)-N(I384)))</f>
        <v>0</v>
      </c>
      <c r="Q384" s="9" t="n">
        <f aca="false">IF(D384="",0,SUMIFS($P$8:$P$507,$D$8:$D$507,D384,$B$8:$B$507,"&lt;"&amp;B384)+SUMIFS($P$8:P383,$D$8:D383,D384,$B$8:B383,B384))</f>
        <v>0</v>
      </c>
      <c r="R384" s="9" t="n">
        <f aca="false">IF(D384="",0,IFERROR(INDEX(Suppliers!$R$7:$R$106,MATCH(D384,Suppliers!$B$7:$B$106,0)),0))</f>
        <v>0</v>
      </c>
      <c r="S384" s="9" t="str">
        <f aca="false">IF(N(K384)&gt;0,IF(H384="",99999,MIN(H384,IF(ISNUMBER(M384),M384,H384)))+ROW()/100000,"")</f>
        <v/>
      </c>
      <c r="U384" s="9" t="n">
        <f aca="false">IF(N(K384)&gt;0,N(L384),0)</f>
        <v>0</v>
      </c>
      <c r="V384" s="9" t="n">
        <f aca="false">IF(AND(N(K384)&gt;0,ISNUMBER(M384)),M384-Setup!$C$11,99999)</f>
        <v>99999</v>
      </c>
    </row>
    <row r="385" customFormat="false" ht="15" hidden="false" customHeight="false" outlineLevel="0" collapsed="false">
      <c r="A385" s="40" t="str">
        <f aca="false">IF(D385="","",ROW()-7)</f>
        <v/>
      </c>
      <c r="B385" s="79"/>
      <c r="C385" s="75"/>
      <c r="D385" s="76"/>
      <c r="E385" s="80"/>
      <c r="F385" s="79"/>
      <c r="G385" s="76"/>
      <c r="H385" s="54" t="str">
        <f aca="false">IF(OR(D385="",B385=""),"",IF(F385&lt;&gt;"",F385,B385+IFERROR(INDEX(Suppliers!$Q$7:$Q$106,MATCH(D385,Suppliers!$B$7:$B$106,0)),Setup!$C$7)))</f>
        <v/>
      </c>
      <c r="I385" s="46" t="str">
        <f aca="false">IF(OR(D385="",C385=""),IF(D385="","",0),SUMIFS(Payments!$D$8:$D$507,Payments!$C$8:$C$507,D385,Payments!$F$8:$F$507,C385))</f>
        <v/>
      </c>
      <c r="J385" s="46" t="str">
        <f aca="false">IF(D385="","",MIN(P385,MAX(0,R385-Q385)))</f>
        <v/>
      </c>
      <c r="K385" s="47" t="str">
        <f aca="false">IF(D385="","",P385-J385)</f>
        <v/>
      </c>
      <c r="L385" s="55" t="str">
        <f aca="false">IF(OR(D385="",N(K385)&lt;=0,H385=""),"",MAX(0,Setup!$C$11-H385))</f>
        <v/>
      </c>
      <c r="M385" s="54" t="str">
        <f aca="false">IF(OR(D385="",B385=""),"",IF(IFERROR(INDEX(Suppliers!$S$7:$S$106,MATCH(D385,Suppliers!$B$7:$B$106,0)),"")="","–",B385+IFERROR(INDEX(Suppliers!$S$7:$S$106,MATCH(D385,Suppliers!$B$7:$B$106,0)),"")))</f>
        <v/>
      </c>
      <c r="N385" s="56" t="str">
        <f aca="false">IF(D385="","",IF(N(K385)&lt;=0,"Paid",IF(AND(ISNUMBER(M385),Setup!$C$11&gt;M385),"⚠ MSME late",IF(N(L385)&gt;0,"Overdue",IF(N(V385)&lt;=Setup!$C$9,"⚠ MSME due soon",IF(K385&lt;E385,"Part paid","Not due"))))))</f>
        <v/>
      </c>
      <c r="O385" s="50" t="str">
        <f aca="false">IF(AND(D385="",B385="",C385="",E385=""),"",IF(D385="","⚠ Pick supplier",IF(ISNA(MATCH(D385,Suppliers!$B$7:$B$106,0)),"⚠ Supplier not in list",IF(B385="","⚠ Enter bill date",IF(N(E385)&lt;=0,"⚠ Enter amount",IF(AND(C385&lt;&gt;"",COUNTIFS($D$8:$D$507,D385,$C$8:$C$507,C385)&gt;1),"⚠ Bill no. used twice",IF(N(I385)&gt;N(E385),"⚠ Paid more than bill","✔")))))))</f>
        <v/>
      </c>
      <c r="P385" s="9" t="n">
        <f aca="false">IF(D385="",0,MAX(0,N(E385)-N(I385)))</f>
        <v>0</v>
      </c>
      <c r="Q385" s="9" t="n">
        <f aca="false">IF(D385="",0,SUMIFS($P$8:$P$507,$D$8:$D$507,D385,$B$8:$B$507,"&lt;"&amp;B385)+SUMIFS($P$8:P384,$D$8:D384,D385,$B$8:B384,B385))</f>
        <v>0</v>
      </c>
      <c r="R385" s="9" t="n">
        <f aca="false">IF(D385="",0,IFERROR(INDEX(Suppliers!$R$7:$R$106,MATCH(D385,Suppliers!$B$7:$B$106,0)),0))</f>
        <v>0</v>
      </c>
      <c r="S385" s="9" t="str">
        <f aca="false">IF(N(K385)&gt;0,IF(H385="",99999,MIN(H385,IF(ISNUMBER(M385),M385,H385)))+ROW()/100000,"")</f>
        <v/>
      </c>
      <c r="U385" s="9" t="n">
        <f aca="false">IF(N(K385)&gt;0,N(L385),0)</f>
        <v>0</v>
      </c>
      <c r="V385" s="9" t="n">
        <f aca="false">IF(AND(N(K385)&gt;0,ISNUMBER(M385)),M385-Setup!$C$11,99999)</f>
        <v>99999</v>
      </c>
    </row>
    <row r="386" customFormat="false" ht="15" hidden="false" customHeight="false" outlineLevel="0" collapsed="false">
      <c r="A386" s="40" t="str">
        <f aca="false">IF(D386="","",ROW()-7)</f>
        <v/>
      </c>
      <c r="B386" s="79"/>
      <c r="C386" s="75"/>
      <c r="D386" s="76"/>
      <c r="E386" s="80"/>
      <c r="F386" s="79"/>
      <c r="G386" s="76"/>
      <c r="H386" s="54" t="str">
        <f aca="false">IF(OR(D386="",B386=""),"",IF(F386&lt;&gt;"",F386,B386+IFERROR(INDEX(Suppliers!$Q$7:$Q$106,MATCH(D386,Suppliers!$B$7:$B$106,0)),Setup!$C$7)))</f>
        <v/>
      </c>
      <c r="I386" s="46" t="str">
        <f aca="false">IF(OR(D386="",C386=""),IF(D386="","",0),SUMIFS(Payments!$D$8:$D$507,Payments!$C$8:$C$507,D386,Payments!$F$8:$F$507,C386))</f>
        <v/>
      </c>
      <c r="J386" s="46" t="str">
        <f aca="false">IF(D386="","",MIN(P386,MAX(0,R386-Q386)))</f>
        <v/>
      </c>
      <c r="K386" s="47" t="str">
        <f aca="false">IF(D386="","",P386-J386)</f>
        <v/>
      </c>
      <c r="L386" s="55" t="str">
        <f aca="false">IF(OR(D386="",N(K386)&lt;=0,H386=""),"",MAX(0,Setup!$C$11-H386))</f>
        <v/>
      </c>
      <c r="M386" s="54" t="str">
        <f aca="false">IF(OR(D386="",B386=""),"",IF(IFERROR(INDEX(Suppliers!$S$7:$S$106,MATCH(D386,Suppliers!$B$7:$B$106,0)),"")="","–",B386+IFERROR(INDEX(Suppliers!$S$7:$S$106,MATCH(D386,Suppliers!$B$7:$B$106,0)),"")))</f>
        <v/>
      </c>
      <c r="N386" s="56" t="str">
        <f aca="false">IF(D386="","",IF(N(K386)&lt;=0,"Paid",IF(AND(ISNUMBER(M386),Setup!$C$11&gt;M386),"⚠ MSME late",IF(N(L386)&gt;0,"Overdue",IF(N(V386)&lt;=Setup!$C$9,"⚠ MSME due soon",IF(K386&lt;E386,"Part paid","Not due"))))))</f>
        <v/>
      </c>
      <c r="O386" s="50" t="str">
        <f aca="false">IF(AND(D386="",B386="",C386="",E386=""),"",IF(D386="","⚠ Pick supplier",IF(ISNA(MATCH(D386,Suppliers!$B$7:$B$106,0)),"⚠ Supplier not in list",IF(B386="","⚠ Enter bill date",IF(N(E386)&lt;=0,"⚠ Enter amount",IF(AND(C386&lt;&gt;"",COUNTIFS($D$8:$D$507,D386,$C$8:$C$507,C386)&gt;1),"⚠ Bill no. used twice",IF(N(I386)&gt;N(E386),"⚠ Paid more than bill","✔")))))))</f>
        <v/>
      </c>
      <c r="P386" s="9" t="n">
        <f aca="false">IF(D386="",0,MAX(0,N(E386)-N(I386)))</f>
        <v>0</v>
      </c>
      <c r="Q386" s="9" t="n">
        <f aca="false">IF(D386="",0,SUMIFS($P$8:$P$507,$D$8:$D$507,D386,$B$8:$B$507,"&lt;"&amp;B386)+SUMIFS($P$8:P385,$D$8:D385,D386,$B$8:B385,B386))</f>
        <v>0</v>
      </c>
      <c r="R386" s="9" t="n">
        <f aca="false">IF(D386="",0,IFERROR(INDEX(Suppliers!$R$7:$R$106,MATCH(D386,Suppliers!$B$7:$B$106,0)),0))</f>
        <v>0</v>
      </c>
      <c r="S386" s="9" t="str">
        <f aca="false">IF(N(K386)&gt;0,IF(H386="",99999,MIN(H386,IF(ISNUMBER(M386),M386,H386)))+ROW()/100000,"")</f>
        <v/>
      </c>
      <c r="U386" s="9" t="n">
        <f aca="false">IF(N(K386)&gt;0,N(L386),0)</f>
        <v>0</v>
      </c>
      <c r="V386" s="9" t="n">
        <f aca="false">IF(AND(N(K386)&gt;0,ISNUMBER(M386)),M386-Setup!$C$11,99999)</f>
        <v>99999</v>
      </c>
    </row>
    <row r="387" customFormat="false" ht="15" hidden="false" customHeight="false" outlineLevel="0" collapsed="false">
      <c r="A387" s="40" t="str">
        <f aca="false">IF(D387="","",ROW()-7)</f>
        <v/>
      </c>
      <c r="B387" s="79"/>
      <c r="C387" s="75"/>
      <c r="D387" s="76"/>
      <c r="E387" s="80"/>
      <c r="F387" s="79"/>
      <c r="G387" s="76"/>
      <c r="H387" s="54" t="str">
        <f aca="false">IF(OR(D387="",B387=""),"",IF(F387&lt;&gt;"",F387,B387+IFERROR(INDEX(Suppliers!$Q$7:$Q$106,MATCH(D387,Suppliers!$B$7:$B$106,0)),Setup!$C$7)))</f>
        <v/>
      </c>
      <c r="I387" s="46" t="str">
        <f aca="false">IF(OR(D387="",C387=""),IF(D387="","",0),SUMIFS(Payments!$D$8:$D$507,Payments!$C$8:$C$507,D387,Payments!$F$8:$F$507,C387))</f>
        <v/>
      </c>
      <c r="J387" s="46" t="str">
        <f aca="false">IF(D387="","",MIN(P387,MAX(0,R387-Q387)))</f>
        <v/>
      </c>
      <c r="K387" s="47" t="str">
        <f aca="false">IF(D387="","",P387-J387)</f>
        <v/>
      </c>
      <c r="L387" s="55" t="str">
        <f aca="false">IF(OR(D387="",N(K387)&lt;=0,H387=""),"",MAX(0,Setup!$C$11-H387))</f>
        <v/>
      </c>
      <c r="M387" s="54" t="str">
        <f aca="false">IF(OR(D387="",B387=""),"",IF(IFERROR(INDEX(Suppliers!$S$7:$S$106,MATCH(D387,Suppliers!$B$7:$B$106,0)),"")="","–",B387+IFERROR(INDEX(Suppliers!$S$7:$S$106,MATCH(D387,Suppliers!$B$7:$B$106,0)),"")))</f>
        <v/>
      </c>
      <c r="N387" s="56" t="str">
        <f aca="false">IF(D387="","",IF(N(K387)&lt;=0,"Paid",IF(AND(ISNUMBER(M387),Setup!$C$11&gt;M387),"⚠ MSME late",IF(N(L387)&gt;0,"Overdue",IF(N(V387)&lt;=Setup!$C$9,"⚠ MSME due soon",IF(K387&lt;E387,"Part paid","Not due"))))))</f>
        <v/>
      </c>
      <c r="O387" s="50" t="str">
        <f aca="false">IF(AND(D387="",B387="",C387="",E387=""),"",IF(D387="","⚠ Pick supplier",IF(ISNA(MATCH(D387,Suppliers!$B$7:$B$106,0)),"⚠ Supplier not in list",IF(B387="","⚠ Enter bill date",IF(N(E387)&lt;=0,"⚠ Enter amount",IF(AND(C387&lt;&gt;"",COUNTIFS($D$8:$D$507,D387,$C$8:$C$507,C387)&gt;1),"⚠ Bill no. used twice",IF(N(I387)&gt;N(E387),"⚠ Paid more than bill","✔")))))))</f>
        <v/>
      </c>
      <c r="P387" s="9" t="n">
        <f aca="false">IF(D387="",0,MAX(0,N(E387)-N(I387)))</f>
        <v>0</v>
      </c>
      <c r="Q387" s="9" t="n">
        <f aca="false">IF(D387="",0,SUMIFS($P$8:$P$507,$D$8:$D$507,D387,$B$8:$B$507,"&lt;"&amp;B387)+SUMIFS($P$8:P386,$D$8:D386,D387,$B$8:B386,B387))</f>
        <v>0</v>
      </c>
      <c r="R387" s="9" t="n">
        <f aca="false">IF(D387="",0,IFERROR(INDEX(Suppliers!$R$7:$R$106,MATCH(D387,Suppliers!$B$7:$B$106,0)),0))</f>
        <v>0</v>
      </c>
      <c r="S387" s="9" t="str">
        <f aca="false">IF(N(K387)&gt;0,IF(H387="",99999,MIN(H387,IF(ISNUMBER(M387),M387,H387)))+ROW()/100000,"")</f>
        <v/>
      </c>
      <c r="U387" s="9" t="n">
        <f aca="false">IF(N(K387)&gt;0,N(L387),0)</f>
        <v>0</v>
      </c>
      <c r="V387" s="9" t="n">
        <f aca="false">IF(AND(N(K387)&gt;0,ISNUMBER(M387)),M387-Setup!$C$11,99999)</f>
        <v>99999</v>
      </c>
    </row>
    <row r="388" customFormat="false" ht="15" hidden="false" customHeight="false" outlineLevel="0" collapsed="false">
      <c r="A388" s="40" t="str">
        <f aca="false">IF(D388="","",ROW()-7)</f>
        <v/>
      </c>
      <c r="B388" s="79"/>
      <c r="C388" s="75"/>
      <c r="D388" s="76"/>
      <c r="E388" s="80"/>
      <c r="F388" s="79"/>
      <c r="G388" s="76"/>
      <c r="H388" s="54" t="str">
        <f aca="false">IF(OR(D388="",B388=""),"",IF(F388&lt;&gt;"",F388,B388+IFERROR(INDEX(Suppliers!$Q$7:$Q$106,MATCH(D388,Suppliers!$B$7:$B$106,0)),Setup!$C$7)))</f>
        <v/>
      </c>
      <c r="I388" s="46" t="str">
        <f aca="false">IF(OR(D388="",C388=""),IF(D388="","",0),SUMIFS(Payments!$D$8:$D$507,Payments!$C$8:$C$507,D388,Payments!$F$8:$F$507,C388))</f>
        <v/>
      </c>
      <c r="J388" s="46" t="str">
        <f aca="false">IF(D388="","",MIN(P388,MAX(0,R388-Q388)))</f>
        <v/>
      </c>
      <c r="K388" s="47" t="str">
        <f aca="false">IF(D388="","",P388-J388)</f>
        <v/>
      </c>
      <c r="L388" s="55" t="str">
        <f aca="false">IF(OR(D388="",N(K388)&lt;=0,H388=""),"",MAX(0,Setup!$C$11-H388))</f>
        <v/>
      </c>
      <c r="M388" s="54" t="str">
        <f aca="false">IF(OR(D388="",B388=""),"",IF(IFERROR(INDEX(Suppliers!$S$7:$S$106,MATCH(D388,Suppliers!$B$7:$B$106,0)),"")="","–",B388+IFERROR(INDEX(Suppliers!$S$7:$S$106,MATCH(D388,Suppliers!$B$7:$B$106,0)),"")))</f>
        <v/>
      </c>
      <c r="N388" s="56" t="str">
        <f aca="false">IF(D388="","",IF(N(K388)&lt;=0,"Paid",IF(AND(ISNUMBER(M388),Setup!$C$11&gt;M388),"⚠ MSME late",IF(N(L388)&gt;0,"Overdue",IF(N(V388)&lt;=Setup!$C$9,"⚠ MSME due soon",IF(K388&lt;E388,"Part paid","Not due"))))))</f>
        <v/>
      </c>
      <c r="O388" s="50" t="str">
        <f aca="false">IF(AND(D388="",B388="",C388="",E388=""),"",IF(D388="","⚠ Pick supplier",IF(ISNA(MATCH(D388,Suppliers!$B$7:$B$106,0)),"⚠ Supplier not in list",IF(B388="","⚠ Enter bill date",IF(N(E388)&lt;=0,"⚠ Enter amount",IF(AND(C388&lt;&gt;"",COUNTIFS($D$8:$D$507,D388,$C$8:$C$507,C388)&gt;1),"⚠ Bill no. used twice",IF(N(I388)&gt;N(E388),"⚠ Paid more than bill","✔")))))))</f>
        <v/>
      </c>
      <c r="P388" s="9" t="n">
        <f aca="false">IF(D388="",0,MAX(0,N(E388)-N(I388)))</f>
        <v>0</v>
      </c>
      <c r="Q388" s="9" t="n">
        <f aca="false">IF(D388="",0,SUMIFS($P$8:$P$507,$D$8:$D$507,D388,$B$8:$B$507,"&lt;"&amp;B388)+SUMIFS($P$8:P387,$D$8:D387,D388,$B$8:B387,B388))</f>
        <v>0</v>
      </c>
      <c r="R388" s="9" t="n">
        <f aca="false">IF(D388="",0,IFERROR(INDEX(Suppliers!$R$7:$R$106,MATCH(D388,Suppliers!$B$7:$B$106,0)),0))</f>
        <v>0</v>
      </c>
      <c r="S388" s="9" t="str">
        <f aca="false">IF(N(K388)&gt;0,IF(H388="",99999,MIN(H388,IF(ISNUMBER(M388),M388,H388)))+ROW()/100000,"")</f>
        <v/>
      </c>
      <c r="U388" s="9" t="n">
        <f aca="false">IF(N(K388)&gt;0,N(L388),0)</f>
        <v>0</v>
      </c>
      <c r="V388" s="9" t="n">
        <f aca="false">IF(AND(N(K388)&gt;0,ISNUMBER(M388)),M388-Setup!$C$11,99999)</f>
        <v>99999</v>
      </c>
    </row>
    <row r="389" customFormat="false" ht="15" hidden="false" customHeight="false" outlineLevel="0" collapsed="false">
      <c r="A389" s="40" t="str">
        <f aca="false">IF(D389="","",ROW()-7)</f>
        <v/>
      </c>
      <c r="B389" s="79"/>
      <c r="C389" s="75"/>
      <c r="D389" s="76"/>
      <c r="E389" s="80"/>
      <c r="F389" s="79"/>
      <c r="G389" s="76"/>
      <c r="H389" s="54" t="str">
        <f aca="false">IF(OR(D389="",B389=""),"",IF(F389&lt;&gt;"",F389,B389+IFERROR(INDEX(Suppliers!$Q$7:$Q$106,MATCH(D389,Suppliers!$B$7:$B$106,0)),Setup!$C$7)))</f>
        <v/>
      </c>
      <c r="I389" s="46" t="str">
        <f aca="false">IF(OR(D389="",C389=""),IF(D389="","",0),SUMIFS(Payments!$D$8:$D$507,Payments!$C$8:$C$507,D389,Payments!$F$8:$F$507,C389))</f>
        <v/>
      </c>
      <c r="J389" s="46" t="str">
        <f aca="false">IF(D389="","",MIN(P389,MAX(0,R389-Q389)))</f>
        <v/>
      </c>
      <c r="K389" s="47" t="str">
        <f aca="false">IF(D389="","",P389-J389)</f>
        <v/>
      </c>
      <c r="L389" s="55" t="str">
        <f aca="false">IF(OR(D389="",N(K389)&lt;=0,H389=""),"",MAX(0,Setup!$C$11-H389))</f>
        <v/>
      </c>
      <c r="M389" s="54" t="str">
        <f aca="false">IF(OR(D389="",B389=""),"",IF(IFERROR(INDEX(Suppliers!$S$7:$S$106,MATCH(D389,Suppliers!$B$7:$B$106,0)),"")="","–",B389+IFERROR(INDEX(Suppliers!$S$7:$S$106,MATCH(D389,Suppliers!$B$7:$B$106,0)),"")))</f>
        <v/>
      </c>
      <c r="N389" s="56" t="str">
        <f aca="false">IF(D389="","",IF(N(K389)&lt;=0,"Paid",IF(AND(ISNUMBER(M389),Setup!$C$11&gt;M389),"⚠ MSME late",IF(N(L389)&gt;0,"Overdue",IF(N(V389)&lt;=Setup!$C$9,"⚠ MSME due soon",IF(K389&lt;E389,"Part paid","Not due"))))))</f>
        <v/>
      </c>
      <c r="O389" s="50" t="str">
        <f aca="false">IF(AND(D389="",B389="",C389="",E389=""),"",IF(D389="","⚠ Pick supplier",IF(ISNA(MATCH(D389,Suppliers!$B$7:$B$106,0)),"⚠ Supplier not in list",IF(B389="","⚠ Enter bill date",IF(N(E389)&lt;=0,"⚠ Enter amount",IF(AND(C389&lt;&gt;"",COUNTIFS($D$8:$D$507,D389,$C$8:$C$507,C389)&gt;1),"⚠ Bill no. used twice",IF(N(I389)&gt;N(E389),"⚠ Paid more than bill","✔")))))))</f>
        <v/>
      </c>
      <c r="P389" s="9" t="n">
        <f aca="false">IF(D389="",0,MAX(0,N(E389)-N(I389)))</f>
        <v>0</v>
      </c>
      <c r="Q389" s="9" t="n">
        <f aca="false">IF(D389="",0,SUMIFS($P$8:$P$507,$D$8:$D$507,D389,$B$8:$B$507,"&lt;"&amp;B389)+SUMIFS($P$8:P388,$D$8:D388,D389,$B$8:B388,B389))</f>
        <v>0</v>
      </c>
      <c r="R389" s="9" t="n">
        <f aca="false">IF(D389="",0,IFERROR(INDEX(Suppliers!$R$7:$R$106,MATCH(D389,Suppliers!$B$7:$B$106,0)),0))</f>
        <v>0</v>
      </c>
      <c r="S389" s="9" t="str">
        <f aca="false">IF(N(K389)&gt;0,IF(H389="",99999,MIN(H389,IF(ISNUMBER(M389),M389,H389)))+ROW()/100000,"")</f>
        <v/>
      </c>
      <c r="U389" s="9" t="n">
        <f aca="false">IF(N(K389)&gt;0,N(L389),0)</f>
        <v>0</v>
      </c>
      <c r="V389" s="9" t="n">
        <f aca="false">IF(AND(N(K389)&gt;0,ISNUMBER(M389)),M389-Setup!$C$11,99999)</f>
        <v>99999</v>
      </c>
    </row>
    <row r="390" customFormat="false" ht="15" hidden="false" customHeight="false" outlineLevel="0" collapsed="false">
      <c r="A390" s="40" t="str">
        <f aca="false">IF(D390="","",ROW()-7)</f>
        <v/>
      </c>
      <c r="B390" s="79"/>
      <c r="C390" s="75"/>
      <c r="D390" s="76"/>
      <c r="E390" s="80"/>
      <c r="F390" s="79"/>
      <c r="G390" s="76"/>
      <c r="H390" s="54" t="str">
        <f aca="false">IF(OR(D390="",B390=""),"",IF(F390&lt;&gt;"",F390,B390+IFERROR(INDEX(Suppliers!$Q$7:$Q$106,MATCH(D390,Suppliers!$B$7:$B$106,0)),Setup!$C$7)))</f>
        <v/>
      </c>
      <c r="I390" s="46" t="str">
        <f aca="false">IF(OR(D390="",C390=""),IF(D390="","",0),SUMIFS(Payments!$D$8:$D$507,Payments!$C$8:$C$507,D390,Payments!$F$8:$F$507,C390))</f>
        <v/>
      </c>
      <c r="J390" s="46" t="str">
        <f aca="false">IF(D390="","",MIN(P390,MAX(0,R390-Q390)))</f>
        <v/>
      </c>
      <c r="K390" s="47" t="str">
        <f aca="false">IF(D390="","",P390-J390)</f>
        <v/>
      </c>
      <c r="L390" s="55" t="str">
        <f aca="false">IF(OR(D390="",N(K390)&lt;=0,H390=""),"",MAX(0,Setup!$C$11-H390))</f>
        <v/>
      </c>
      <c r="M390" s="54" t="str">
        <f aca="false">IF(OR(D390="",B390=""),"",IF(IFERROR(INDEX(Suppliers!$S$7:$S$106,MATCH(D390,Suppliers!$B$7:$B$106,0)),"")="","–",B390+IFERROR(INDEX(Suppliers!$S$7:$S$106,MATCH(D390,Suppliers!$B$7:$B$106,0)),"")))</f>
        <v/>
      </c>
      <c r="N390" s="56" t="str">
        <f aca="false">IF(D390="","",IF(N(K390)&lt;=0,"Paid",IF(AND(ISNUMBER(M390),Setup!$C$11&gt;M390),"⚠ MSME late",IF(N(L390)&gt;0,"Overdue",IF(N(V390)&lt;=Setup!$C$9,"⚠ MSME due soon",IF(K390&lt;E390,"Part paid","Not due"))))))</f>
        <v/>
      </c>
      <c r="O390" s="50" t="str">
        <f aca="false">IF(AND(D390="",B390="",C390="",E390=""),"",IF(D390="","⚠ Pick supplier",IF(ISNA(MATCH(D390,Suppliers!$B$7:$B$106,0)),"⚠ Supplier not in list",IF(B390="","⚠ Enter bill date",IF(N(E390)&lt;=0,"⚠ Enter amount",IF(AND(C390&lt;&gt;"",COUNTIFS($D$8:$D$507,D390,$C$8:$C$507,C390)&gt;1),"⚠ Bill no. used twice",IF(N(I390)&gt;N(E390),"⚠ Paid more than bill","✔")))))))</f>
        <v/>
      </c>
      <c r="P390" s="9" t="n">
        <f aca="false">IF(D390="",0,MAX(0,N(E390)-N(I390)))</f>
        <v>0</v>
      </c>
      <c r="Q390" s="9" t="n">
        <f aca="false">IF(D390="",0,SUMIFS($P$8:$P$507,$D$8:$D$507,D390,$B$8:$B$507,"&lt;"&amp;B390)+SUMIFS($P$8:P389,$D$8:D389,D390,$B$8:B389,B390))</f>
        <v>0</v>
      </c>
      <c r="R390" s="9" t="n">
        <f aca="false">IF(D390="",0,IFERROR(INDEX(Suppliers!$R$7:$R$106,MATCH(D390,Suppliers!$B$7:$B$106,0)),0))</f>
        <v>0</v>
      </c>
      <c r="S390" s="9" t="str">
        <f aca="false">IF(N(K390)&gt;0,IF(H390="",99999,MIN(H390,IF(ISNUMBER(M390),M390,H390)))+ROW()/100000,"")</f>
        <v/>
      </c>
      <c r="U390" s="9" t="n">
        <f aca="false">IF(N(K390)&gt;0,N(L390),0)</f>
        <v>0</v>
      </c>
      <c r="V390" s="9" t="n">
        <f aca="false">IF(AND(N(K390)&gt;0,ISNUMBER(M390)),M390-Setup!$C$11,99999)</f>
        <v>99999</v>
      </c>
    </row>
    <row r="391" customFormat="false" ht="15" hidden="false" customHeight="false" outlineLevel="0" collapsed="false">
      <c r="A391" s="40" t="str">
        <f aca="false">IF(D391="","",ROW()-7)</f>
        <v/>
      </c>
      <c r="B391" s="79"/>
      <c r="C391" s="75"/>
      <c r="D391" s="76"/>
      <c r="E391" s="80"/>
      <c r="F391" s="79"/>
      <c r="G391" s="76"/>
      <c r="H391" s="54" t="str">
        <f aca="false">IF(OR(D391="",B391=""),"",IF(F391&lt;&gt;"",F391,B391+IFERROR(INDEX(Suppliers!$Q$7:$Q$106,MATCH(D391,Suppliers!$B$7:$B$106,0)),Setup!$C$7)))</f>
        <v/>
      </c>
      <c r="I391" s="46" t="str">
        <f aca="false">IF(OR(D391="",C391=""),IF(D391="","",0),SUMIFS(Payments!$D$8:$D$507,Payments!$C$8:$C$507,D391,Payments!$F$8:$F$507,C391))</f>
        <v/>
      </c>
      <c r="J391" s="46" t="str">
        <f aca="false">IF(D391="","",MIN(P391,MAX(0,R391-Q391)))</f>
        <v/>
      </c>
      <c r="K391" s="47" t="str">
        <f aca="false">IF(D391="","",P391-J391)</f>
        <v/>
      </c>
      <c r="L391" s="55" t="str">
        <f aca="false">IF(OR(D391="",N(K391)&lt;=0,H391=""),"",MAX(0,Setup!$C$11-H391))</f>
        <v/>
      </c>
      <c r="M391" s="54" t="str">
        <f aca="false">IF(OR(D391="",B391=""),"",IF(IFERROR(INDEX(Suppliers!$S$7:$S$106,MATCH(D391,Suppliers!$B$7:$B$106,0)),"")="","–",B391+IFERROR(INDEX(Suppliers!$S$7:$S$106,MATCH(D391,Suppliers!$B$7:$B$106,0)),"")))</f>
        <v/>
      </c>
      <c r="N391" s="56" t="str">
        <f aca="false">IF(D391="","",IF(N(K391)&lt;=0,"Paid",IF(AND(ISNUMBER(M391),Setup!$C$11&gt;M391),"⚠ MSME late",IF(N(L391)&gt;0,"Overdue",IF(N(V391)&lt;=Setup!$C$9,"⚠ MSME due soon",IF(K391&lt;E391,"Part paid","Not due"))))))</f>
        <v/>
      </c>
      <c r="O391" s="50" t="str">
        <f aca="false">IF(AND(D391="",B391="",C391="",E391=""),"",IF(D391="","⚠ Pick supplier",IF(ISNA(MATCH(D391,Suppliers!$B$7:$B$106,0)),"⚠ Supplier not in list",IF(B391="","⚠ Enter bill date",IF(N(E391)&lt;=0,"⚠ Enter amount",IF(AND(C391&lt;&gt;"",COUNTIFS($D$8:$D$507,D391,$C$8:$C$507,C391)&gt;1),"⚠ Bill no. used twice",IF(N(I391)&gt;N(E391),"⚠ Paid more than bill","✔")))))))</f>
        <v/>
      </c>
      <c r="P391" s="9" t="n">
        <f aca="false">IF(D391="",0,MAX(0,N(E391)-N(I391)))</f>
        <v>0</v>
      </c>
      <c r="Q391" s="9" t="n">
        <f aca="false">IF(D391="",0,SUMIFS($P$8:$P$507,$D$8:$D$507,D391,$B$8:$B$507,"&lt;"&amp;B391)+SUMIFS($P$8:P390,$D$8:D390,D391,$B$8:B390,B391))</f>
        <v>0</v>
      </c>
      <c r="R391" s="9" t="n">
        <f aca="false">IF(D391="",0,IFERROR(INDEX(Suppliers!$R$7:$R$106,MATCH(D391,Suppliers!$B$7:$B$106,0)),0))</f>
        <v>0</v>
      </c>
      <c r="S391" s="9" t="str">
        <f aca="false">IF(N(K391)&gt;0,IF(H391="",99999,MIN(H391,IF(ISNUMBER(M391),M391,H391)))+ROW()/100000,"")</f>
        <v/>
      </c>
      <c r="U391" s="9" t="n">
        <f aca="false">IF(N(K391)&gt;0,N(L391),0)</f>
        <v>0</v>
      </c>
      <c r="V391" s="9" t="n">
        <f aca="false">IF(AND(N(K391)&gt;0,ISNUMBER(M391)),M391-Setup!$C$11,99999)</f>
        <v>99999</v>
      </c>
    </row>
    <row r="392" customFormat="false" ht="15" hidden="false" customHeight="false" outlineLevel="0" collapsed="false">
      <c r="A392" s="40" t="str">
        <f aca="false">IF(D392="","",ROW()-7)</f>
        <v/>
      </c>
      <c r="B392" s="79"/>
      <c r="C392" s="75"/>
      <c r="D392" s="76"/>
      <c r="E392" s="80"/>
      <c r="F392" s="79"/>
      <c r="G392" s="76"/>
      <c r="H392" s="54" t="str">
        <f aca="false">IF(OR(D392="",B392=""),"",IF(F392&lt;&gt;"",F392,B392+IFERROR(INDEX(Suppliers!$Q$7:$Q$106,MATCH(D392,Suppliers!$B$7:$B$106,0)),Setup!$C$7)))</f>
        <v/>
      </c>
      <c r="I392" s="46" t="str">
        <f aca="false">IF(OR(D392="",C392=""),IF(D392="","",0),SUMIFS(Payments!$D$8:$D$507,Payments!$C$8:$C$507,D392,Payments!$F$8:$F$507,C392))</f>
        <v/>
      </c>
      <c r="J392" s="46" t="str">
        <f aca="false">IF(D392="","",MIN(P392,MAX(0,R392-Q392)))</f>
        <v/>
      </c>
      <c r="K392" s="47" t="str">
        <f aca="false">IF(D392="","",P392-J392)</f>
        <v/>
      </c>
      <c r="L392" s="55" t="str">
        <f aca="false">IF(OR(D392="",N(K392)&lt;=0,H392=""),"",MAX(0,Setup!$C$11-H392))</f>
        <v/>
      </c>
      <c r="M392" s="54" t="str">
        <f aca="false">IF(OR(D392="",B392=""),"",IF(IFERROR(INDEX(Suppliers!$S$7:$S$106,MATCH(D392,Suppliers!$B$7:$B$106,0)),"")="","–",B392+IFERROR(INDEX(Suppliers!$S$7:$S$106,MATCH(D392,Suppliers!$B$7:$B$106,0)),"")))</f>
        <v/>
      </c>
      <c r="N392" s="56" t="str">
        <f aca="false">IF(D392="","",IF(N(K392)&lt;=0,"Paid",IF(AND(ISNUMBER(M392),Setup!$C$11&gt;M392),"⚠ MSME late",IF(N(L392)&gt;0,"Overdue",IF(N(V392)&lt;=Setup!$C$9,"⚠ MSME due soon",IF(K392&lt;E392,"Part paid","Not due"))))))</f>
        <v/>
      </c>
      <c r="O392" s="50" t="str">
        <f aca="false">IF(AND(D392="",B392="",C392="",E392=""),"",IF(D392="","⚠ Pick supplier",IF(ISNA(MATCH(D392,Suppliers!$B$7:$B$106,0)),"⚠ Supplier not in list",IF(B392="","⚠ Enter bill date",IF(N(E392)&lt;=0,"⚠ Enter amount",IF(AND(C392&lt;&gt;"",COUNTIFS($D$8:$D$507,D392,$C$8:$C$507,C392)&gt;1),"⚠ Bill no. used twice",IF(N(I392)&gt;N(E392),"⚠ Paid more than bill","✔")))))))</f>
        <v/>
      </c>
      <c r="P392" s="9" t="n">
        <f aca="false">IF(D392="",0,MAX(0,N(E392)-N(I392)))</f>
        <v>0</v>
      </c>
      <c r="Q392" s="9" t="n">
        <f aca="false">IF(D392="",0,SUMIFS($P$8:$P$507,$D$8:$D$507,D392,$B$8:$B$507,"&lt;"&amp;B392)+SUMIFS($P$8:P391,$D$8:D391,D392,$B$8:B391,B392))</f>
        <v>0</v>
      </c>
      <c r="R392" s="9" t="n">
        <f aca="false">IF(D392="",0,IFERROR(INDEX(Suppliers!$R$7:$R$106,MATCH(D392,Suppliers!$B$7:$B$106,0)),0))</f>
        <v>0</v>
      </c>
      <c r="S392" s="9" t="str">
        <f aca="false">IF(N(K392)&gt;0,IF(H392="",99999,MIN(H392,IF(ISNUMBER(M392),M392,H392)))+ROW()/100000,"")</f>
        <v/>
      </c>
      <c r="U392" s="9" t="n">
        <f aca="false">IF(N(K392)&gt;0,N(L392),0)</f>
        <v>0</v>
      </c>
      <c r="V392" s="9" t="n">
        <f aca="false">IF(AND(N(K392)&gt;0,ISNUMBER(M392)),M392-Setup!$C$11,99999)</f>
        <v>99999</v>
      </c>
    </row>
    <row r="393" customFormat="false" ht="15" hidden="false" customHeight="false" outlineLevel="0" collapsed="false">
      <c r="A393" s="40" t="str">
        <f aca="false">IF(D393="","",ROW()-7)</f>
        <v/>
      </c>
      <c r="B393" s="79"/>
      <c r="C393" s="75"/>
      <c r="D393" s="76"/>
      <c r="E393" s="80"/>
      <c r="F393" s="79"/>
      <c r="G393" s="76"/>
      <c r="H393" s="54" t="str">
        <f aca="false">IF(OR(D393="",B393=""),"",IF(F393&lt;&gt;"",F393,B393+IFERROR(INDEX(Suppliers!$Q$7:$Q$106,MATCH(D393,Suppliers!$B$7:$B$106,0)),Setup!$C$7)))</f>
        <v/>
      </c>
      <c r="I393" s="46" t="str">
        <f aca="false">IF(OR(D393="",C393=""),IF(D393="","",0),SUMIFS(Payments!$D$8:$D$507,Payments!$C$8:$C$507,D393,Payments!$F$8:$F$507,C393))</f>
        <v/>
      </c>
      <c r="J393" s="46" t="str">
        <f aca="false">IF(D393="","",MIN(P393,MAX(0,R393-Q393)))</f>
        <v/>
      </c>
      <c r="K393" s="47" t="str">
        <f aca="false">IF(D393="","",P393-J393)</f>
        <v/>
      </c>
      <c r="L393" s="55" t="str">
        <f aca="false">IF(OR(D393="",N(K393)&lt;=0,H393=""),"",MAX(0,Setup!$C$11-H393))</f>
        <v/>
      </c>
      <c r="M393" s="54" t="str">
        <f aca="false">IF(OR(D393="",B393=""),"",IF(IFERROR(INDEX(Suppliers!$S$7:$S$106,MATCH(D393,Suppliers!$B$7:$B$106,0)),"")="","–",B393+IFERROR(INDEX(Suppliers!$S$7:$S$106,MATCH(D393,Suppliers!$B$7:$B$106,0)),"")))</f>
        <v/>
      </c>
      <c r="N393" s="56" t="str">
        <f aca="false">IF(D393="","",IF(N(K393)&lt;=0,"Paid",IF(AND(ISNUMBER(M393),Setup!$C$11&gt;M393),"⚠ MSME late",IF(N(L393)&gt;0,"Overdue",IF(N(V393)&lt;=Setup!$C$9,"⚠ MSME due soon",IF(K393&lt;E393,"Part paid","Not due"))))))</f>
        <v/>
      </c>
      <c r="O393" s="50" t="str">
        <f aca="false">IF(AND(D393="",B393="",C393="",E393=""),"",IF(D393="","⚠ Pick supplier",IF(ISNA(MATCH(D393,Suppliers!$B$7:$B$106,0)),"⚠ Supplier not in list",IF(B393="","⚠ Enter bill date",IF(N(E393)&lt;=0,"⚠ Enter amount",IF(AND(C393&lt;&gt;"",COUNTIFS($D$8:$D$507,D393,$C$8:$C$507,C393)&gt;1),"⚠ Bill no. used twice",IF(N(I393)&gt;N(E393),"⚠ Paid more than bill","✔")))))))</f>
        <v/>
      </c>
      <c r="P393" s="9" t="n">
        <f aca="false">IF(D393="",0,MAX(0,N(E393)-N(I393)))</f>
        <v>0</v>
      </c>
      <c r="Q393" s="9" t="n">
        <f aca="false">IF(D393="",0,SUMIFS($P$8:$P$507,$D$8:$D$507,D393,$B$8:$B$507,"&lt;"&amp;B393)+SUMIFS($P$8:P392,$D$8:D392,D393,$B$8:B392,B393))</f>
        <v>0</v>
      </c>
      <c r="R393" s="9" t="n">
        <f aca="false">IF(D393="",0,IFERROR(INDEX(Suppliers!$R$7:$R$106,MATCH(D393,Suppliers!$B$7:$B$106,0)),0))</f>
        <v>0</v>
      </c>
      <c r="S393" s="9" t="str">
        <f aca="false">IF(N(K393)&gt;0,IF(H393="",99999,MIN(H393,IF(ISNUMBER(M393),M393,H393)))+ROW()/100000,"")</f>
        <v/>
      </c>
      <c r="U393" s="9" t="n">
        <f aca="false">IF(N(K393)&gt;0,N(L393),0)</f>
        <v>0</v>
      </c>
      <c r="V393" s="9" t="n">
        <f aca="false">IF(AND(N(K393)&gt;0,ISNUMBER(M393)),M393-Setup!$C$11,99999)</f>
        <v>99999</v>
      </c>
    </row>
    <row r="394" customFormat="false" ht="15" hidden="false" customHeight="false" outlineLevel="0" collapsed="false">
      <c r="A394" s="40" t="str">
        <f aca="false">IF(D394="","",ROW()-7)</f>
        <v/>
      </c>
      <c r="B394" s="79"/>
      <c r="C394" s="75"/>
      <c r="D394" s="76"/>
      <c r="E394" s="80"/>
      <c r="F394" s="79"/>
      <c r="G394" s="76"/>
      <c r="H394" s="54" t="str">
        <f aca="false">IF(OR(D394="",B394=""),"",IF(F394&lt;&gt;"",F394,B394+IFERROR(INDEX(Suppliers!$Q$7:$Q$106,MATCH(D394,Suppliers!$B$7:$B$106,0)),Setup!$C$7)))</f>
        <v/>
      </c>
      <c r="I394" s="46" t="str">
        <f aca="false">IF(OR(D394="",C394=""),IF(D394="","",0),SUMIFS(Payments!$D$8:$D$507,Payments!$C$8:$C$507,D394,Payments!$F$8:$F$507,C394))</f>
        <v/>
      </c>
      <c r="J394" s="46" t="str">
        <f aca="false">IF(D394="","",MIN(P394,MAX(0,R394-Q394)))</f>
        <v/>
      </c>
      <c r="K394" s="47" t="str">
        <f aca="false">IF(D394="","",P394-J394)</f>
        <v/>
      </c>
      <c r="L394" s="55" t="str">
        <f aca="false">IF(OR(D394="",N(K394)&lt;=0,H394=""),"",MAX(0,Setup!$C$11-H394))</f>
        <v/>
      </c>
      <c r="M394" s="54" t="str">
        <f aca="false">IF(OR(D394="",B394=""),"",IF(IFERROR(INDEX(Suppliers!$S$7:$S$106,MATCH(D394,Suppliers!$B$7:$B$106,0)),"")="","–",B394+IFERROR(INDEX(Suppliers!$S$7:$S$106,MATCH(D394,Suppliers!$B$7:$B$106,0)),"")))</f>
        <v/>
      </c>
      <c r="N394" s="56" t="str">
        <f aca="false">IF(D394="","",IF(N(K394)&lt;=0,"Paid",IF(AND(ISNUMBER(M394),Setup!$C$11&gt;M394),"⚠ MSME late",IF(N(L394)&gt;0,"Overdue",IF(N(V394)&lt;=Setup!$C$9,"⚠ MSME due soon",IF(K394&lt;E394,"Part paid","Not due"))))))</f>
        <v/>
      </c>
      <c r="O394" s="50" t="str">
        <f aca="false">IF(AND(D394="",B394="",C394="",E394=""),"",IF(D394="","⚠ Pick supplier",IF(ISNA(MATCH(D394,Suppliers!$B$7:$B$106,0)),"⚠ Supplier not in list",IF(B394="","⚠ Enter bill date",IF(N(E394)&lt;=0,"⚠ Enter amount",IF(AND(C394&lt;&gt;"",COUNTIFS($D$8:$D$507,D394,$C$8:$C$507,C394)&gt;1),"⚠ Bill no. used twice",IF(N(I394)&gt;N(E394),"⚠ Paid more than bill","✔")))))))</f>
        <v/>
      </c>
      <c r="P394" s="9" t="n">
        <f aca="false">IF(D394="",0,MAX(0,N(E394)-N(I394)))</f>
        <v>0</v>
      </c>
      <c r="Q394" s="9" t="n">
        <f aca="false">IF(D394="",0,SUMIFS($P$8:$P$507,$D$8:$D$507,D394,$B$8:$B$507,"&lt;"&amp;B394)+SUMIFS($P$8:P393,$D$8:D393,D394,$B$8:B393,B394))</f>
        <v>0</v>
      </c>
      <c r="R394" s="9" t="n">
        <f aca="false">IF(D394="",0,IFERROR(INDEX(Suppliers!$R$7:$R$106,MATCH(D394,Suppliers!$B$7:$B$106,0)),0))</f>
        <v>0</v>
      </c>
      <c r="S394" s="9" t="str">
        <f aca="false">IF(N(K394)&gt;0,IF(H394="",99999,MIN(H394,IF(ISNUMBER(M394),M394,H394)))+ROW()/100000,"")</f>
        <v/>
      </c>
      <c r="U394" s="9" t="n">
        <f aca="false">IF(N(K394)&gt;0,N(L394),0)</f>
        <v>0</v>
      </c>
      <c r="V394" s="9" t="n">
        <f aca="false">IF(AND(N(K394)&gt;0,ISNUMBER(M394)),M394-Setup!$C$11,99999)</f>
        <v>99999</v>
      </c>
    </row>
    <row r="395" customFormat="false" ht="15" hidden="false" customHeight="false" outlineLevel="0" collapsed="false">
      <c r="A395" s="40" t="str">
        <f aca="false">IF(D395="","",ROW()-7)</f>
        <v/>
      </c>
      <c r="B395" s="79"/>
      <c r="C395" s="75"/>
      <c r="D395" s="76"/>
      <c r="E395" s="80"/>
      <c r="F395" s="79"/>
      <c r="G395" s="76"/>
      <c r="H395" s="54" t="str">
        <f aca="false">IF(OR(D395="",B395=""),"",IF(F395&lt;&gt;"",F395,B395+IFERROR(INDEX(Suppliers!$Q$7:$Q$106,MATCH(D395,Suppliers!$B$7:$B$106,0)),Setup!$C$7)))</f>
        <v/>
      </c>
      <c r="I395" s="46" t="str">
        <f aca="false">IF(OR(D395="",C395=""),IF(D395="","",0),SUMIFS(Payments!$D$8:$D$507,Payments!$C$8:$C$507,D395,Payments!$F$8:$F$507,C395))</f>
        <v/>
      </c>
      <c r="J395" s="46" t="str">
        <f aca="false">IF(D395="","",MIN(P395,MAX(0,R395-Q395)))</f>
        <v/>
      </c>
      <c r="K395" s="47" t="str">
        <f aca="false">IF(D395="","",P395-J395)</f>
        <v/>
      </c>
      <c r="L395" s="55" t="str">
        <f aca="false">IF(OR(D395="",N(K395)&lt;=0,H395=""),"",MAX(0,Setup!$C$11-H395))</f>
        <v/>
      </c>
      <c r="M395" s="54" t="str">
        <f aca="false">IF(OR(D395="",B395=""),"",IF(IFERROR(INDEX(Suppliers!$S$7:$S$106,MATCH(D395,Suppliers!$B$7:$B$106,0)),"")="","–",B395+IFERROR(INDEX(Suppliers!$S$7:$S$106,MATCH(D395,Suppliers!$B$7:$B$106,0)),"")))</f>
        <v/>
      </c>
      <c r="N395" s="56" t="str">
        <f aca="false">IF(D395="","",IF(N(K395)&lt;=0,"Paid",IF(AND(ISNUMBER(M395),Setup!$C$11&gt;M395),"⚠ MSME late",IF(N(L395)&gt;0,"Overdue",IF(N(V395)&lt;=Setup!$C$9,"⚠ MSME due soon",IF(K395&lt;E395,"Part paid","Not due"))))))</f>
        <v/>
      </c>
      <c r="O395" s="50" t="str">
        <f aca="false">IF(AND(D395="",B395="",C395="",E395=""),"",IF(D395="","⚠ Pick supplier",IF(ISNA(MATCH(D395,Suppliers!$B$7:$B$106,0)),"⚠ Supplier not in list",IF(B395="","⚠ Enter bill date",IF(N(E395)&lt;=0,"⚠ Enter amount",IF(AND(C395&lt;&gt;"",COUNTIFS($D$8:$D$507,D395,$C$8:$C$507,C395)&gt;1),"⚠ Bill no. used twice",IF(N(I395)&gt;N(E395),"⚠ Paid more than bill","✔")))))))</f>
        <v/>
      </c>
      <c r="P395" s="9" t="n">
        <f aca="false">IF(D395="",0,MAX(0,N(E395)-N(I395)))</f>
        <v>0</v>
      </c>
      <c r="Q395" s="9" t="n">
        <f aca="false">IF(D395="",0,SUMIFS($P$8:$P$507,$D$8:$D$507,D395,$B$8:$B$507,"&lt;"&amp;B395)+SUMIFS($P$8:P394,$D$8:D394,D395,$B$8:B394,B395))</f>
        <v>0</v>
      </c>
      <c r="R395" s="9" t="n">
        <f aca="false">IF(D395="",0,IFERROR(INDEX(Suppliers!$R$7:$R$106,MATCH(D395,Suppliers!$B$7:$B$106,0)),0))</f>
        <v>0</v>
      </c>
      <c r="S395" s="9" t="str">
        <f aca="false">IF(N(K395)&gt;0,IF(H395="",99999,MIN(H395,IF(ISNUMBER(M395),M395,H395)))+ROW()/100000,"")</f>
        <v/>
      </c>
      <c r="U395" s="9" t="n">
        <f aca="false">IF(N(K395)&gt;0,N(L395),0)</f>
        <v>0</v>
      </c>
      <c r="V395" s="9" t="n">
        <f aca="false">IF(AND(N(K395)&gt;0,ISNUMBER(M395)),M395-Setup!$C$11,99999)</f>
        <v>99999</v>
      </c>
    </row>
    <row r="396" customFormat="false" ht="15" hidden="false" customHeight="false" outlineLevel="0" collapsed="false">
      <c r="A396" s="40" t="str">
        <f aca="false">IF(D396="","",ROW()-7)</f>
        <v/>
      </c>
      <c r="B396" s="79"/>
      <c r="C396" s="75"/>
      <c r="D396" s="76"/>
      <c r="E396" s="80"/>
      <c r="F396" s="79"/>
      <c r="G396" s="76"/>
      <c r="H396" s="54" t="str">
        <f aca="false">IF(OR(D396="",B396=""),"",IF(F396&lt;&gt;"",F396,B396+IFERROR(INDEX(Suppliers!$Q$7:$Q$106,MATCH(D396,Suppliers!$B$7:$B$106,0)),Setup!$C$7)))</f>
        <v/>
      </c>
      <c r="I396" s="46" t="str">
        <f aca="false">IF(OR(D396="",C396=""),IF(D396="","",0),SUMIFS(Payments!$D$8:$D$507,Payments!$C$8:$C$507,D396,Payments!$F$8:$F$507,C396))</f>
        <v/>
      </c>
      <c r="J396" s="46" t="str">
        <f aca="false">IF(D396="","",MIN(P396,MAX(0,R396-Q396)))</f>
        <v/>
      </c>
      <c r="K396" s="47" t="str">
        <f aca="false">IF(D396="","",P396-J396)</f>
        <v/>
      </c>
      <c r="L396" s="55" t="str">
        <f aca="false">IF(OR(D396="",N(K396)&lt;=0,H396=""),"",MAX(0,Setup!$C$11-H396))</f>
        <v/>
      </c>
      <c r="M396" s="54" t="str">
        <f aca="false">IF(OR(D396="",B396=""),"",IF(IFERROR(INDEX(Suppliers!$S$7:$S$106,MATCH(D396,Suppliers!$B$7:$B$106,0)),"")="","–",B396+IFERROR(INDEX(Suppliers!$S$7:$S$106,MATCH(D396,Suppliers!$B$7:$B$106,0)),"")))</f>
        <v/>
      </c>
      <c r="N396" s="56" t="str">
        <f aca="false">IF(D396="","",IF(N(K396)&lt;=0,"Paid",IF(AND(ISNUMBER(M396),Setup!$C$11&gt;M396),"⚠ MSME late",IF(N(L396)&gt;0,"Overdue",IF(N(V396)&lt;=Setup!$C$9,"⚠ MSME due soon",IF(K396&lt;E396,"Part paid","Not due"))))))</f>
        <v/>
      </c>
      <c r="O396" s="50" t="str">
        <f aca="false">IF(AND(D396="",B396="",C396="",E396=""),"",IF(D396="","⚠ Pick supplier",IF(ISNA(MATCH(D396,Suppliers!$B$7:$B$106,0)),"⚠ Supplier not in list",IF(B396="","⚠ Enter bill date",IF(N(E396)&lt;=0,"⚠ Enter amount",IF(AND(C396&lt;&gt;"",COUNTIFS($D$8:$D$507,D396,$C$8:$C$507,C396)&gt;1),"⚠ Bill no. used twice",IF(N(I396)&gt;N(E396),"⚠ Paid more than bill","✔")))))))</f>
        <v/>
      </c>
      <c r="P396" s="9" t="n">
        <f aca="false">IF(D396="",0,MAX(0,N(E396)-N(I396)))</f>
        <v>0</v>
      </c>
      <c r="Q396" s="9" t="n">
        <f aca="false">IF(D396="",0,SUMIFS($P$8:$P$507,$D$8:$D$507,D396,$B$8:$B$507,"&lt;"&amp;B396)+SUMIFS($P$8:P395,$D$8:D395,D396,$B$8:B395,B396))</f>
        <v>0</v>
      </c>
      <c r="R396" s="9" t="n">
        <f aca="false">IF(D396="",0,IFERROR(INDEX(Suppliers!$R$7:$R$106,MATCH(D396,Suppliers!$B$7:$B$106,0)),0))</f>
        <v>0</v>
      </c>
      <c r="S396" s="9" t="str">
        <f aca="false">IF(N(K396)&gt;0,IF(H396="",99999,MIN(H396,IF(ISNUMBER(M396),M396,H396)))+ROW()/100000,"")</f>
        <v/>
      </c>
      <c r="U396" s="9" t="n">
        <f aca="false">IF(N(K396)&gt;0,N(L396),0)</f>
        <v>0</v>
      </c>
      <c r="V396" s="9" t="n">
        <f aca="false">IF(AND(N(K396)&gt;0,ISNUMBER(M396)),M396-Setup!$C$11,99999)</f>
        <v>99999</v>
      </c>
    </row>
    <row r="397" customFormat="false" ht="15" hidden="false" customHeight="false" outlineLevel="0" collapsed="false">
      <c r="A397" s="40" t="str">
        <f aca="false">IF(D397="","",ROW()-7)</f>
        <v/>
      </c>
      <c r="B397" s="79"/>
      <c r="C397" s="75"/>
      <c r="D397" s="76"/>
      <c r="E397" s="80"/>
      <c r="F397" s="79"/>
      <c r="G397" s="76"/>
      <c r="H397" s="54" t="str">
        <f aca="false">IF(OR(D397="",B397=""),"",IF(F397&lt;&gt;"",F397,B397+IFERROR(INDEX(Suppliers!$Q$7:$Q$106,MATCH(D397,Suppliers!$B$7:$B$106,0)),Setup!$C$7)))</f>
        <v/>
      </c>
      <c r="I397" s="46" t="str">
        <f aca="false">IF(OR(D397="",C397=""),IF(D397="","",0),SUMIFS(Payments!$D$8:$D$507,Payments!$C$8:$C$507,D397,Payments!$F$8:$F$507,C397))</f>
        <v/>
      </c>
      <c r="J397" s="46" t="str">
        <f aca="false">IF(D397="","",MIN(P397,MAX(0,R397-Q397)))</f>
        <v/>
      </c>
      <c r="K397" s="47" t="str">
        <f aca="false">IF(D397="","",P397-J397)</f>
        <v/>
      </c>
      <c r="L397" s="55" t="str">
        <f aca="false">IF(OR(D397="",N(K397)&lt;=0,H397=""),"",MAX(0,Setup!$C$11-H397))</f>
        <v/>
      </c>
      <c r="M397" s="54" t="str">
        <f aca="false">IF(OR(D397="",B397=""),"",IF(IFERROR(INDEX(Suppliers!$S$7:$S$106,MATCH(D397,Suppliers!$B$7:$B$106,0)),"")="","–",B397+IFERROR(INDEX(Suppliers!$S$7:$S$106,MATCH(D397,Suppliers!$B$7:$B$106,0)),"")))</f>
        <v/>
      </c>
      <c r="N397" s="56" t="str">
        <f aca="false">IF(D397="","",IF(N(K397)&lt;=0,"Paid",IF(AND(ISNUMBER(M397),Setup!$C$11&gt;M397),"⚠ MSME late",IF(N(L397)&gt;0,"Overdue",IF(N(V397)&lt;=Setup!$C$9,"⚠ MSME due soon",IF(K397&lt;E397,"Part paid","Not due"))))))</f>
        <v/>
      </c>
      <c r="O397" s="50" t="str">
        <f aca="false">IF(AND(D397="",B397="",C397="",E397=""),"",IF(D397="","⚠ Pick supplier",IF(ISNA(MATCH(D397,Suppliers!$B$7:$B$106,0)),"⚠ Supplier not in list",IF(B397="","⚠ Enter bill date",IF(N(E397)&lt;=0,"⚠ Enter amount",IF(AND(C397&lt;&gt;"",COUNTIFS($D$8:$D$507,D397,$C$8:$C$507,C397)&gt;1),"⚠ Bill no. used twice",IF(N(I397)&gt;N(E397),"⚠ Paid more than bill","✔")))))))</f>
        <v/>
      </c>
      <c r="P397" s="9" t="n">
        <f aca="false">IF(D397="",0,MAX(0,N(E397)-N(I397)))</f>
        <v>0</v>
      </c>
      <c r="Q397" s="9" t="n">
        <f aca="false">IF(D397="",0,SUMIFS($P$8:$P$507,$D$8:$D$507,D397,$B$8:$B$507,"&lt;"&amp;B397)+SUMIFS($P$8:P396,$D$8:D396,D397,$B$8:B396,B397))</f>
        <v>0</v>
      </c>
      <c r="R397" s="9" t="n">
        <f aca="false">IF(D397="",0,IFERROR(INDEX(Suppliers!$R$7:$R$106,MATCH(D397,Suppliers!$B$7:$B$106,0)),0))</f>
        <v>0</v>
      </c>
      <c r="S397" s="9" t="str">
        <f aca="false">IF(N(K397)&gt;0,IF(H397="",99999,MIN(H397,IF(ISNUMBER(M397),M397,H397)))+ROW()/100000,"")</f>
        <v/>
      </c>
      <c r="U397" s="9" t="n">
        <f aca="false">IF(N(K397)&gt;0,N(L397),0)</f>
        <v>0</v>
      </c>
      <c r="V397" s="9" t="n">
        <f aca="false">IF(AND(N(K397)&gt;0,ISNUMBER(M397)),M397-Setup!$C$11,99999)</f>
        <v>99999</v>
      </c>
    </row>
    <row r="398" customFormat="false" ht="15" hidden="false" customHeight="false" outlineLevel="0" collapsed="false">
      <c r="A398" s="40" t="str">
        <f aca="false">IF(D398="","",ROW()-7)</f>
        <v/>
      </c>
      <c r="B398" s="79"/>
      <c r="C398" s="75"/>
      <c r="D398" s="76"/>
      <c r="E398" s="80"/>
      <c r="F398" s="79"/>
      <c r="G398" s="76"/>
      <c r="H398" s="54" t="str">
        <f aca="false">IF(OR(D398="",B398=""),"",IF(F398&lt;&gt;"",F398,B398+IFERROR(INDEX(Suppliers!$Q$7:$Q$106,MATCH(D398,Suppliers!$B$7:$B$106,0)),Setup!$C$7)))</f>
        <v/>
      </c>
      <c r="I398" s="46" t="str">
        <f aca="false">IF(OR(D398="",C398=""),IF(D398="","",0),SUMIFS(Payments!$D$8:$D$507,Payments!$C$8:$C$507,D398,Payments!$F$8:$F$507,C398))</f>
        <v/>
      </c>
      <c r="J398" s="46" t="str">
        <f aca="false">IF(D398="","",MIN(P398,MAX(0,R398-Q398)))</f>
        <v/>
      </c>
      <c r="K398" s="47" t="str">
        <f aca="false">IF(D398="","",P398-J398)</f>
        <v/>
      </c>
      <c r="L398" s="55" t="str">
        <f aca="false">IF(OR(D398="",N(K398)&lt;=0,H398=""),"",MAX(0,Setup!$C$11-H398))</f>
        <v/>
      </c>
      <c r="M398" s="54" t="str">
        <f aca="false">IF(OR(D398="",B398=""),"",IF(IFERROR(INDEX(Suppliers!$S$7:$S$106,MATCH(D398,Suppliers!$B$7:$B$106,0)),"")="","–",B398+IFERROR(INDEX(Suppliers!$S$7:$S$106,MATCH(D398,Suppliers!$B$7:$B$106,0)),"")))</f>
        <v/>
      </c>
      <c r="N398" s="56" t="str">
        <f aca="false">IF(D398="","",IF(N(K398)&lt;=0,"Paid",IF(AND(ISNUMBER(M398),Setup!$C$11&gt;M398),"⚠ MSME late",IF(N(L398)&gt;0,"Overdue",IF(N(V398)&lt;=Setup!$C$9,"⚠ MSME due soon",IF(K398&lt;E398,"Part paid","Not due"))))))</f>
        <v/>
      </c>
      <c r="O398" s="50" t="str">
        <f aca="false">IF(AND(D398="",B398="",C398="",E398=""),"",IF(D398="","⚠ Pick supplier",IF(ISNA(MATCH(D398,Suppliers!$B$7:$B$106,0)),"⚠ Supplier not in list",IF(B398="","⚠ Enter bill date",IF(N(E398)&lt;=0,"⚠ Enter amount",IF(AND(C398&lt;&gt;"",COUNTIFS($D$8:$D$507,D398,$C$8:$C$507,C398)&gt;1),"⚠ Bill no. used twice",IF(N(I398)&gt;N(E398),"⚠ Paid more than bill","✔")))))))</f>
        <v/>
      </c>
      <c r="P398" s="9" t="n">
        <f aca="false">IF(D398="",0,MAX(0,N(E398)-N(I398)))</f>
        <v>0</v>
      </c>
      <c r="Q398" s="9" t="n">
        <f aca="false">IF(D398="",0,SUMIFS($P$8:$P$507,$D$8:$D$507,D398,$B$8:$B$507,"&lt;"&amp;B398)+SUMIFS($P$8:P397,$D$8:D397,D398,$B$8:B397,B398))</f>
        <v>0</v>
      </c>
      <c r="R398" s="9" t="n">
        <f aca="false">IF(D398="",0,IFERROR(INDEX(Suppliers!$R$7:$R$106,MATCH(D398,Suppliers!$B$7:$B$106,0)),0))</f>
        <v>0</v>
      </c>
      <c r="S398" s="9" t="str">
        <f aca="false">IF(N(K398)&gt;0,IF(H398="",99999,MIN(H398,IF(ISNUMBER(M398),M398,H398)))+ROW()/100000,"")</f>
        <v/>
      </c>
      <c r="U398" s="9" t="n">
        <f aca="false">IF(N(K398)&gt;0,N(L398),0)</f>
        <v>0</v>
      </c>
      <c r="V398" s="9" t="n">
        <f aca="false">IF(AND(N(K398)&gt;0,ISNUMBER(M398)),M398-Setup!$C$11,99999)</f>
        <v>99999</v>
      </c>
    </row>
    <row r="399" customFormat="false" ht="15" hidden="false" customHeight="false" outlineLevel="0" collapsed="false">
      <c r="A399" s="40" t="str">
        <f aca="false">IF(D399="","",ROW()-7)</f>
        <v/>
      </c>
      <c r="B399" s="79"/>
      <c r="C399" s="75"/>
      <c r="D399" s="76"/>
      <c r="E399" s="80"/>
      <c r="F399" s="79"/>
      <c r="G399" s="76"/>
      <c r="H399" s="54" t="str">
        <f aca="false">IF(OR(D399="",B399=""),"",IF(F399&lt;&gt;"",F399,B399+IFERROR(INDEX(Suppliers!$Q$7:$Q$106,MATCH(D399,Suppliers!$B$7:$B$106,0)),Setup!$C$7)))</f>
        <v/>
      </c>
      <c r="I399" s="46" t="str">
        <f aca="false">IF(OR(D399="",C399=""),IF(D399="","",0),SUMIFS(Payments!$D$8:$D$507,Payments!$C$8:$C$507,D399,Payments!$F$8:$F$507,C399))</f>
        <v/>
      </c>
      <c r="J399" s="46" t="str">
        <f aca="false">IF(D399="","",MIN(P399,MAX(0,R399-Q399)))</f>
        <v/>
      </c>
      <c r="K399" s="47" t="str">
        <f aca="false">IF(D399="","",P399-J399)</f>
        <v/>
      </c>
      <c r="L399" s="55" t="str">
        <f aca="false">IF(OR(D399="",N(K399)&lt;=0,H399=""),"",MAX(0,Setup!$C$11-H399))</f>
        <v/>
      </c>
      <c r="M399" s="54" t="str">
        <f aca="false">IF(OR(D399="",B399=""),"",IF(IFERROR(INDEX(Suppliers!$S$7:$S$106,MATCH(D399,Suppliers!$B$7:$B$106,0)),"")="","–",B399+IFERROR(INDEX(Suppliers!$S$7:$S$106,MATCH(D399,Suppliers!$B$7:$B$106,0)),"")))</f>
        <v/>
      </c>
      <c r="N399" s="56" t="str">
        <f aca="false">IF(D399="","",IF(N(K399)&lt;=0,"Paid",IF(AND(ISNUMBER(M399),Setup!$C$11&gt;M399),"⚠ MSME late",IF(N(L399)&gt;0,"Overdue",IF(N(V399)&lt;=Setup!$C$9,"⚠ MSME due soon",IF(K399&lt;E399,"Part paid","Not due"))))))</f>
        <v/>
      </c>
      <c r="O399" s="50" t="str">
        <f aca="false">IF(AND(D399="",B399="",C399="",E399=""),"",IF(D399="","⚠ Pick supplier",IF(ISNA(MATCH(D399,Suppliers!$B$7:$B$106,0)),"⚠ Supplier not in list",IF(B399="","⚠ Enter bill date",IF(N(E399)&lt;=0,"⚠ Enter amount",IF(AND(C399&lt;&gt;"",COUNTIFS($D$8:$D$507,D399,$C$8:$C$507,C399)&gt;1),"⚠ Bill no. used twice",IF(N(I399)&gt;N(E399),"⚠ Paid more than bill","✔")))))))</f>
        <v/>
      </c>
      <c r="P399" s="9" t="n">
        <f aca="false">IF(D399="",0,MAX(0,N(E399)-N(I399)))</f>
        <v>0</v>
      </c>
      <c r="Q399" s="9" t="n">
        <f aca="false">IF(D399="",0,SUMIFS($P$8:$P$507,$D$8:$D$507,D399,$B$8:$B$507,"&lt;"&amp;B399)+SUMIFS($P$8:P398,$D$8:D398,D399,$B$8:B398,B399))</f>
        <v>0</v>
      </c>
      <c r="R399" s="9" t="n">
        <f aca="false">IF(D399="",0,IFERROR(INDEX(Suppliers!$R$7:$R$106,MATCH(D399,Suppliers!$B$7:$B$106,0)),0))</f>
        <v>0</v>
      </c>
      <c r="S399" s="9" t="str">
        <f aca="false">IF(N(K399)&gt;0,IF(H399="",99999,MIN(H399,IF(ISNUMBER(M399),M399,H399)))+ROW()/100000,"")</f>
        <v/>
      </c>
      <c r="U399" s="9" t="n">
        <f aca="false">IF(N(K399)&gt;0,N(L399),0)</f>
        <v>0</v>
      </c>
      <c r="V399" s="9" t="n">
        <f aca="false">IF(AND(N(K399)&gt;0,ISNUMBER(M399)),M399-Setup!$C$11,99999)</f>
        <v>99999</v>
      </c>
    </row>
    <row r="400" customFormat="false" ht="15" hidden="false" customHeight="false" outlineLevel="0" collapsed="false">
      <c r="A400" s="40" t="str">
        <f aca="false">IF(D400="","",ROW()-7)</f>
        <v/>
      </c>
      <c r="B400" s="79"/>
      <c r="C400" s="75"/>
      <c r="D400" s="76"/>
      <c r="E400" s="80"/>
      <c r="F400" s="79"/>
      <c r="G400" s="76"/>
      <c r="H400" s="54" t="str">
        <f aca="false">IF(OR(D400="",B400=""),"",IF(F400&lt;&gt;"",F400,B400+IFERROR(INDEX(Suppliers!$Q$7:$Q$106,MATCH(D400,Suppliers!$B$7:$B$106,0)),Setup!$C$7)))</f>
        <v/>
      </c>
      <c r="I400" s="46" t="str">
        <f aca="false">IF(OR(D400="",C400=""),IF(D400="","",0),SUMIFS(Payments!$D$8:$D$507,Payments!$C$8:$C$507,D400,Payments!$F$8:$F$507,C400))</f>
        <v/>
      </c>
      <c r="J400" s="46" t="str">
        <f aca="false">IF(D400="","",MIN(P400,MAX(0,R400-Q400)))</f>
        <v/>
      </c>
      <c r="K400" s="47" t="str">
        <f aca="false">IF(D400="","",P400-J400)</f>
        <v/>
      </c>
      <c r="L400" s="55" t="str">
        <f aca="false">IF(OR(D400="",N(K400)&lt;=0,H400=""),"",MAX(0,Setup!$C$11-H400))</f>
        <v/>
      </c>
      <c r="M400" s="54" t="str">
        <f aca="false">IF(OR(D400="",B400=""),"",IF(IFERROR(INDEX(Suppliers!$S$7:$S$106,MATCH(D400,Suppliers!$B$7:$B$106,0)),"")="","–",B400+IFERROR(INDEX(Suppliers!$S$7:$S$106,MATCH(D400,Suppliers!$B$7:$B$106,0)),"")))</f>
        <v/>
      </c>
      <c r="N400" s="56" t="str">
        <f aca="false">IF(D400="","",IF(N(K400)&lt;=0,"Paid",IF(AND(ISNUMBER(M400),Setup!$C$11&gt;M400),"⚠ MSME late",IF(N(L400)&gt;0,"Overdue",IF(N(V400)&lt;=Setup!$C$9,"⚠ MSME due soon",IF(K400&lt;E400,"Part paid","Not due"))))))</f>
        <v/>
      </c>
      <c r="O400" s="50" t="str">
        <f aca="false">IF(AND(D400="",B400="",C400="",E400=""),"",IF(D400="","⚠ Pick supplier",IF(ISNA(MATCH(D400,Suppliers!$B$7:$B$106,0)),"⚠ Supplier not in list",IF(B400="","⚠ Enter bill date",IF(N(E400)&lt;=0,"⚠ Enter amount",IF(AND(C400&lt;&gt;"",COUNTIFS($D$8:$D$507,D400,$C$8:$C$507,C400)&gt;1),"⚠ Bill no. used twice",IF(N(I400)&gt;N(E400),"⚠ Paid more than bill","✔")))))))</f>
        <v/>
      </c>
      <c r="P400" s="9" t="n">
        <f aca="false">IF(D400="",0,MAX(0,N(E400)-N(I400)))</f>
        <v>0</v>
      </c>
      <c r="Q400" s="9" t="n">
        <f aca="false">IF(D400="",0,SUMIFS($P$8:$P$507,$D$8:$D$507,D400,$B$8:$B$507,"&lt;"&amp;B400)+SUMIFS($P$8:P399,$D$8:D399,D400,$B$8:B399,B400))</f>
        <v>0</v>
      </c>
      <c r="R400" s="9" t="n">
        <f aca="false">IF(D400="",0,IFERROR(INDEX(Suppliers!$R$7:$R$106,MATCH(D400,Suppliers!$B$7:$B$106,0)),0))</f>
        <v>0</v>
      </c>
      <c r="S400" s="9" t="str">
        <f aca="false">IF(N(K400)&gt;0,IF(H400="",99999,MIN(H400,IF(ISNUMBER(M400),M400,H400)))+ROW()/100000,"")</f>
        <v/>
      </c>
      <c r="U400" s="9" t="n">
        <f aca="false">IF(N(K400)&gt;0,N(L400),0)</f>
        <v>0</v>
      </c>
      <c r="V400" s="9" t="n">
        <f aca="false">IF(AND(N(K400)&gt;0,ISNUMBER(M400)),M400-Setup!$C$11,99999)</f>
        <v>99999</v>
      </c>
    </row>
    <row r="401" customFormat="false" ht="15" hidden="false" customHeight="false" outlineLevel="0" collapsed="false">
      <c r="A401" s="40" t="str">
        <f aca="false">IF(D401="","",ROW()-7)</f>
        <v/>
      </c>
      <c r="B401" s="79"/>
      <c r="C401" s="75"/>
      <c r="D401" s="76"/>
      <c r="E401" s="80"/>
      <c r="F401" s="79"/>
      <c r="G401" s="76"/>
      <c r="H401" s="54" t="str">
        <f aca="false">IF(OR(D401="",B401=""),"",IF(F401&lt;&gt;"",F401,B401+IFERROR(INDEX(Suppliers!$Q$7:$Q$106,MATCH(D401,Suppliers!$B$7:$B$106,0)),Setup!$C$7)))</f>
        <v/>
      </c>
      <c r="I401" s="46" t="str">
        <f aca="false">IF(OR(D401="",C401=""),IF(D401="","",0),SUMIFS(Payments!$D$8:$D$507,Payments!$C$8:$C$507,D401,Payments!$F$8:$F$507,C401))</f>
        <v/>
      </c>
      <c r="J401" s="46" t="str">
        <f aca="false">IF(D401="","",MIN(P401,MAX(0,R401-Q401)))</f>
        <v/>
      </c>
      <c r="K401" s="47" t="str">
        <f aca="false">IF(D401="","",P401-J401)</f>
        <v/>
      </c>
      <c r="L401" s="55" t="str">
        <f aca="false">IF(OR(D401="",N(K401)&lt;=0,H401=""),"",MAX(0,Setup!$C$11-H401))</f>
        <v/>
      </c>
      <c r="M401" s="54" t="str">
        <f aca="false">IF(OR(D401="",B401=""),"",IF(IFERROR(INDEX(Suppliers!$S$7:$S$106,MATCH(D401,Suppliers!$B$7:$B$106,0)),"")="","–",B401+IFERROR(INDEX(Suppliers!$S$7:$S$106,MATCH(D401,Suppliers!$B$7:$B$106,0)),"")))</f>
        <v/>
      </c>
      <c r="N401" s="56" t="str">
        <f aca="false">IF(D401="","",IF(N(K401)&lt;=0,"Paid",IF(AND(ISNUMBER(M401),Setup!$C$11&gt;M401),"⚠ MSME late",IF(N(L401)&gt;0,"Overdue",IF(N(V401)&lt;=Setup!$C$9,"⚠ MSME due soon",IF(K401&lt;E401,"Part paid","Not due"))))))</f>
        <v/>
      </c>
      <c r="O401" s="50" t="str">
        <f aca="false">IF(AND(D401="",B401="",C401="",E401=""),"",IF(D401="","⚠ Pick supplier",IF(ISNA(MATCH(D401,Suppliers!$B$7:$B$106,0)),"⚠ Supplier not in list",IF(B401="","⚠ Enter bill date",IF(N(E401)&lt;=0,"⚠ Enter amount",IF(AND(C401&lt;&gt;"",COUNTIFS($D$8:$D$507,D401,$C$8:$C$507,C401)&gt;1),"⚠ Bill no. used twice",IF(N(I401)&gt;N(E401),"⚠ Paid more than bill","✔")))))))</f>
        <v/>
      </c>
      <c r="P401" s="9" t="n">
        <f aca="false">IF(D401="",0,MAX(0,N(E401)-N(I401)))</f>
        <v>0</v>
      </c>
      <c r="Q401" s="9" t="n">
        <f aca="false">IF(D401="",0,SUMIFS($P$8:$P$507,$D$8:$D$507,D401,$B$8:$B$507,"&lt;"&amp;B401)+SUMIFS($P$8:P400,$D$8:D400,D401,$B$8:B400,B401))</f>
        <v>0</v>
      </c>
      <c r="R401" s="9" t="n">
        <f aca="false">IF(D401="",0,IFERROR(INDEX(Suppliers!$R$7:$R$106,MATCH(D401,Suppliers!$B$7:$B$106,0)),0))</f>
        <v>0</v>
      </c>
      <c r="S401" s="9" t="str">
        <f aca="false">IF(N(K401)&gt;0,IF(H401="",99999,MIN(H401,IF(ISNUMBER(M401),M401,H401)))+ROW()/100000,"")</f>
        <v/>
      </c>
      <c r="U401" s="9" t="n">
        <f aca="false">IF(N(K401)&gt;0,N(L401),0)</f>
        <v>0</v>
      </c>
      <c r="V401" s="9" t="n">
        <f aca="false">IF(AND(N(K401)&gt;0,ISNUMBER(M401)),M401-Setup!$C$11,99999)</f>
        <v>99999</v>
      </c>
    </row>
    <row r="402" customFormat="false" ht="15" hidden="false" customHeight="false" outlineLevel="0" collapsed="false">
      <c r="A402" s="40" t="str">
        <f aca="false">IF(D402="","",ROW()-7)</f>
        <v/>
      </c>
      <c r="B402" s="79"/>
      <c r="C402" s="75"/>
      <c r="D402" s="76"/>
      <c r="E402" s="80"/>
      <c r="F402" s="79"/>
      <c r="G402" s="76"/>
      <c r="H402" s="54" t="str">
        <f aca="false">IF(OR(D402="",B402=""),"",IF(F402&lt;&gt;"",F402,B402+IFERROR(INDEX(Suppliers!$Q$7:$Q$106,MATCH(D402,Suppliers!$B$7:$B$106,0)),Setup!$C$7)))</f>
        <v/>
      </c>
      <c r="I402" s="46" t="str">
        <f aca="false">IF(OR(D402="",C402=""),IF(D402="","",0),SUMIFS(Payments!$D$8:$D$507,Payments!$C$8:$C$507,D402,Payments!$F$8:$F$507,C402))</f>
        <v/>
      </c>
      <c r="J402" s="46" t="str">
        <f aca="false">IF(D402="","",MIN(P402,MAX(0,R402-Q402)))</f>
        <v/>
      </c>
      <c r="K402" s="47" t="str">
        <f aca="false">IF(D402="","",P402-J402)</f>
        <v/>
      </c>
      <c r="L402" s="55" t="str">
        <f aca="false">IF(OR(D402="",N(K402)&lt;=0,H402=""),"",MAX(0,Setup!$C$11-H402))</f>
        <v/>
      </c>
      <c r="M402" s="54" t="str">
        <f aca="false">IF(OR(D402="",B402=""),"",IF(IFERROR(INDEX(Suppliers!$S$7:$S$106,MATCH(D402,Suppliers!$B$7:$B$106,0)),"")="","–",B402+IFERROR(INDEX(Suppliers!$S$7:$S$106,MATCH(D402,Suppliers!$B$7:$B$106,0)),"")))</f>
        <v/>
      </c>
      <c r="N402" s="56" t="str">
        <f aca="false">IF(D402="","",IF(N(K402)&lt;=0,"Paid",IF(AND(ISNUMBER(M402),Setup!$C$11&gt;M402),"⚠ MSME late",IF(N(L402)&gt;0,"Overdue",IF(N(V402)&lt;=Setup!$C$9,"⚠ MSME due soon",IF(K402&lt;E402,"Part paid","Not due"))))))</f>
        <v/>
      </c>
      <c r="O402" s="50" t="str">
        <f aca="false">IF(AND(D402="",B402="",C402="",E402=""),"",IF(D402="","⚠ Pick supplier",IF(ISNA(MATCH(D402,Suppliers!$B$7:$B$106,0)),"⚠ Supplier not in list",IF(B402="","⚠ Enter bill date",IF(N(E402)&lt;=0,"⚠ Enter amount",IF(AND(C402&lt;&gt;"",COUNTIFS($D$8:$D$507,D402,$C$8:$C$507,C402)&gt;1),"⚠ Bill no. used twice",IF(N(I402)&gt;N(E402),"⚠ Paid more than bill","✔")))))))</f>
        <v/>
      </c>
      <c r="P402" s="9" t="n">
        <f aca="false">IF(D402="",0,MAX(0,N(E402)-N(I402)))</f>
        <v>0</v>
      </c>
      <c r="Q402" s="9" t="n">
        <f aca="false">IF(D402="",0,SUMIFS($P$8:$P$507,$D$8:$D$507,D402,$B$8:$B$507,"&lt;"&amp;B402)+SUMIFS($P$8:P401,$D$8:D401,D402,$B$8:B401,B402))</f>
        <v>0</v>
      </c>
      <c r="R402" s="9" t="n">
        <f aca="false">IF(D402="",0,IFERROR(INDEX(Suppliers!$R$7:$R$106,MATCH(D402,Suppliers!$B$7:$B$106,0)),0))</f>
        <v>0</v>
      </c>
      <c r="S402" s="9" t="str">
        <f aca="false">IF(N(K402)&gt;0,IF(H402="",99999,MIN(H402,IF(ISNUMBER(M402),M402,H402)))+ROW()/100000,"")</f>
        <v/>
      </c>
      <c r="U402" s="9" t="n">
        <f aca="false">IF(N(K402)&gt;0,N(L402),0)</f>
        <v>0</v>
      </c>
      <c r="V402" s="9" t="n">
        <f aca="false">IF(AND(N(K402)&gt;0,ISNUMBER(M402)),M402-Setup!$C$11,99999)</f>
        <v>99999</v>
      </c>
    </row>
    <row r="403" customFormat="false" ht="15" hidden="false" customHeight="false" outlineLevel="0" collapsed="false">
      <c r="A403" s="40" t="str">
        <f aca="false">IF(D403="","",ROW()-7)</f>
        <v/>
      </c>
      <c r="B403" s="79"/>
      <c r="C403" s="75"/>
      <c r="D403" s="76"/>
      <c r="E403" s="80"/>
      <c r="F403" s="79"/>
      <c r="G403" s="76"/>
      <c r="H403" s="54" t="str">
        <f aca="false">IF(OR(D403="",B403=""),"",IF(F403&lt;&gt;"",F403,B403+IFERROR(INDEX(Suppliers!$Q$7:$Q$106,MATCH(D403,Suppliers!$B$7:$B$106,0)),Setup!$C$7)))</f>
        <v/>
      </c>
      <c r="I403" s="46" t="str">
        <f aca="false">IF(OR(D403="",C403=""),IF(D403="","",0),SUMIFS(Payments!$D$8:$D$507,Payments!$C$8:$C$507,D403,Payments!$F$8:$F$507,C403))</f>
        <v/>
      </c>
      <c r="J403" s="46" t="str">
        <f aca="false">IF(D403="","",MIN(P403,MAX(0,R403-Q403)))</f>
        <v/>
      </c>
      <c r="K403" s="47" t="str">
        <f aca="false">IF(D403="","",P403-J403)</f>
        <v/>
      </c>
      <c r="L403" s="55" t="str">
        <f aca="false">IF(OR(D403="",N(K403)&lt;=0,H403=""),"",MAX(0,Setup!$C$11-H403))</f>
        <v/>
      </c>
      <c r="M403" s="54" t="str">
        <f aca="false">IF(OR(D403="",B403=""),"",IF(IFERROR(INDEX(Suppliers!$S$7:$S$106,MATCH(D403,Suppliers!$B$7:$B$106,0)),"")="","–",B403+IFERROR(INDEX(Suppliers!$S$7:$S$106,MATCH(D403,Suppliers!$B$7:$B$106,0)),"")))</f>
        <v/>
      </c>
      <c r="N403" s="56" t="str">
        <f aca="false">IF(D403="","",IF(N(K403)&lt;=0,"Paid",IF(AND(ISNUMBER(M403),Setup!$C$11&gt;M403),"⚠ MSME late",IF(N(L403)&gt;0,"Overdue",IF(N(V403)&lt;=Setup!$C$9,"⚠ MSME due soon",IF(K403&lt;E403,"Part paid","Not due"))))))</f>
        <v/>
      </c>
      <c r="O403" s="50" t="str">
        <f aca="false">IF(AND(D403="",B403="",C403="",E403=""),"",IF(D403="","⚠ Pick supplier",IF(ISNA(MATCH(D403,Suppliers!$B$7:$B$106,0)),"⚠ Supplier not in list",IF(B403="","⚠ Enter bill date",IF(N(E403)&lt;=0,"⚠ Enter amount",IF(AND(C403&lt;&gt;"",COUNTIFS($D$8:$D$507,D403,$C$8:$C$507,C403)&gt;1),"⚠ Bill no. used twice",IF(N(I403)&gt;N(E403),"⚠ Paid more than bill","✔")))))))</f>
        <v/>
      </c>
      <c r="P403" s="9" t="n">
        <f aca="false">IF(D403="",0,MAX(0,N(E403)-N(I403)))</f>
        <v>0</v>
      </c>
      <c r="Q403" s="9" t="n">
        <f aca="false">IF(D403="",0,SUMIFS($P$8:$P$507,$D$8:$D$507,D403,$B$8:$B$507,"&lt;"&amp;B403)+SUMIFS($P$8:P402,$D$8:D402,D403,$B$8:B402,B403))</f>
        <v>0</v>
      </c>
      <c r="R403" s="9" t="n">
        <f aca="false">IF(D403="",0,IFERROR(INDEX(Suppliers!$R$7:$R$106,MATCH(D403,Suppliers!$B$7:$B$106,0)),0))</f>
        <v>0</v>
      </c>
      <c r="S403" s="9" t="str">
        <f aca="false">IF(N(K403)&gt;0,IF(H403="",99999,MIN(H403,IF(ISNUMBER(M403),M403,H403)))+ROW()/100000,"")</f>
        <v/>
      </c>
      <c r="U403" s="9" t="n">
        <f aca="false">IF(N(K403)&gt;0,N(L403),0)</f>
        <v>0</v>
      </c>
      <c r="V403" s="9" t="n">
        <f aca="false">IF(AND(N(K403)&gt;0,ISNUMBER(M403)),M403-Setup!$C$11,99999)</f>
        <v>99999</v>
      </c>
    </row>
    <row r="404" customFormat="false" ht="15" hidden="false" customHeight="false" outlineLevel="0" collapsed="false">
      <c r="A404" s="40" t="str">
        <f aca="false">IF(D404="","",ROW()-7)</f>
        <v/>
      </c>
      <c r="B404" s="79"/>
      <c r="C404" s="75"/>
      <c r="D404" s="76"/>
      <c r="E404" s="80"/>
      <c r="F404" s="79"/>
      <c r="G404" s="76"/>
      <c r="H404" s="54" t="str">
        <f aca="false">IF(OR(D404="",B404=""),"",IF(F404&lt;&gt;"",F404,B404+IFERROR(INDEX(Suppliers!$Q$7:$Q$106,MATCH(D404,Suppliers!$B$7:$B$106,0)),Setup!$C$7)))</f>
        <v/>
      </c>
      <c r="I404" s="46" t="str">
        <f aca="false">IF(OR(D404="",C404=""),IF(D404="","",0),SUMIFS(Payments!$D$8:$D$507,Payments!$C$8:$C$507,D404,Payments!$F$8:$F$507,C404))</f>
        <v/>
      </c>
      <c r="J404" s="46" t="str">
        <f aca="false">IF(D404="","",MIN(P404,MAX(0,R404-Q404)))</f>
        <v/>
      </c>
      <c r="K404" s="47" t="str">
        <f aca="false">IF(D404="","",P404-J404)</f>
        <v/>
      </c>
      <c r="L404" s="55" t="str">
        <f aca="false">IF(OR(D404="",N(K404)&lt;=0,H404=""),"",MAX(0,Setup!$C$11-H404))</f>
        <v/>
      </c>
      <c r="M404" s="54" t="str">
        <f aca="false">IF(OR(D404="",B404=""),"",IF(IFERROR(INDEX(Suppliers!$S$7:$S$106,MATCH(D404,Suppliers!$B$7:$B$106,0)),"")="","–",B404+IFERROR(INDEX(Suppliers!$S$7:$S$106,MATCH(D404,Suppliers!$B$7:$B$106,0)),"")))</f>
        <v/>
      </c>
      <c r="N404" s="56" t="str">
        <f aca="false">IF(D404="","",IF(N(K404)&lt;=0,"Paid",IF(AND(ISNUMBER(M404),Setup!$C$11&gt;M404),"⚠ MSME late",IF(N(L404)&gt;0,"Overdue",IF(N(V404)&lt;=Setup!$C$9,"⚠ MSME due soon",IF(K404&lt;E404,"Part paid","Not due"))))))</f>
        <v/>
      </c>
      <c r="O404" s="50" t="str">
        <f aca="false">IF(AND(D404="",B404="",C404="",E404=""),"",IF(D404="","⚠ Pick supplier",IF(ISNA(MATCH(D404,Suppliers!$B$7:$B$106,0)),"⚠ Supplier not in list",IF(B404="","⚠ Enter bill date",IF(N(E404)&lt;=0,"⚠ Enter amount",IF(AND(C404&lt;&gt;"",COUNTIFS($D$8:$D$507,D404,$C$8:$C$507,C404)&gt;1),"⚠ Bill no. used twice",IF(N(I404)&gt;N(E404),"⚠ Paid more than bill","✔")))))))</f>
        <v/>
      </c>
      <c r="P404" s="9" t="n">
        <f aca="false">IF(D404="",0,MAX(0,N(E404)-N(I404)))</f>
        <v>0</v>
      </c>
      <c r="Q404" s="9" t="n">
        <f aca="false">IF(D404="",0,SUMIFS($P$8:$P$507,$D$8:$D$507,D404,$B$8:$B$507,"&lt;"&amp;B404)+SUMIFS($P$8:P403,$D$8:D403,D404,$B$8:B403,B404))</f>
        <v>0</v>
      </c>
      <c r="R404" s="9" t="n">
        <f aca="false">IF(D404="",0,IFERROR(INDEX(Suppliers!$R$7:$R$106,MATCH(D404,Suppliers!$B$7:$B$106,0)),0))</f>
        <v>0</v>
      </c>
      <c r="S404" s="9" t="str">
        <f aca="false">IF(N(K404)&gt;0,IF(H404="",99999,MIN(H404,IF(ISNUMBER(M404),M404,H404)))+ROW()/100000,"")</f>
        <v/>
      </c>
      <c r="U404" s="9" t="n">
        <f aca="false">IF(N(K404)&gt;0,N(L404),0)</f>
        <v>0</v>
      </c>
      <c r="V404" s="9" t="n">
        <f aca="false">IF(AND(N(K404)&gt;0,ISNUMBER(M404)),M404-Setup!$C$11,99999)</f>
        <v>99999</v>
      </c>
    </row>
    <row r="405" customFormat="false" ht="15" hidden="false" customHeight="false" outlineLevel="0" collapsed="false">
      <c r="A405" s="40" t="str">
        <f aca="false">IF(D405="","",ROW()-7)</f>
        <v/>
      </c>
      <c r="B405" s="79"/>
      <c r="C405" s="75"/>
      <c r="D405" s="76"/>
      <c r="E405" s="80"/>
      <c r="F405" s="79"/>
      <c r="G405" s="76"/>
      <c r="H405" s="54" t="str">
        <f aca="false">IF(OR(D405="",B405=""),"",IF(F405&lt;&gt;"",F405,B405+IFERROR(INDEX(Suppliers!$Q$7:$Q$106,MATCH(D405,Suppliers!$B$7:$B$106,0)),Setup!$C$7)))</f>
        <v/>
      </c>
      <c r="I405" s="46" t="str">
        <f aca="false">IF(OR(D405="",C405=""),IF(D405="","",0),SUMIFS(Payments!$D$8:$D$507,Payments!$C$8:$C$507,D405,Payments!$F$8:$F$507,C405))</f>
        <v/>
      </c>
      <c r="J405" s="46" t="str">
        <f aca="false">IF(D405="","",MIN(P405,MAX(0,R405-Q405)))</f>
        <v/>
      </c>
      <c r="K405" s="47" t="str">
        <f aca="false">IF(D405="","",P405-J405)</f>
        <v/>
      </c>
      <c r="L405" s="55" t="str">
        <f aca="false">IF(OR(D405="",N(K405)&lt;=0,H405=""),"",MAX(0,Setup!$C$11-H405))</f>
        <v/>
      </c>
      <c r="M405" s="54" t="str">
        <f aca="false">IF(OR(D405="",B405=""),"",IF(IFERROR(INDEX(Suppliers!$S$7:$S$106,MATCH(D405,Suppliers!$B$7:$B$106,0)),"")="","–",B405+IFERROR(INDEX(Suppliers!$S$7:$S$106,MATCH(D405,Suppliers!$B$7:$B$106,0)),"")))</f>
        <v/>
      </c>
      <c r="N405" s="56" t="str">
        <f aca="false">IF(D405="","",IF(N(K405)&lt;=0,"Paid",IF(AND(ISNUMBER(M405),Setup!$C$11&gt;M405),"⚠ MSME late",IF(N(L405)&gt;0,"Overdue",IF(N(V405)&lt;=Setup!$C$9,"⚠ MSME due soon",IF(K405&lt;E405,"Part paid","Not due"))))))</f>
        <v/>
      </c>
      <c r="O405" s="50" t="str">
        <f aca="false">IF(AND(D405="",B405="",C405="",E405=""),"",IF(D405="","⚠ Pick supplier",IF(ISNA(MATCH(D405,Suppliers!$B$7:$B$106,0)),"⚠ Supplier not in list",IF(B405="","⚠ Enter bill date",IF(N(E405)&lt;=0,"⚠ Enter amount",IF(AND(C405&lt;&gt;"",COUNTIFS($D$8:$D$507,D405,$C$8:$C$507,C405)&gt;1),"⚠ Bill no. used twice",IF(N(I405)&gt;N(E405),"⚠ Paid more than bill","✔")))))))</f>
        <v/>
      </c>
      <c r="P405" s="9" t="n">
        <f aca="false">IF(D405="",0,MAX(0,N(E405)-N(I405)))</f>
        <v>0</v>
      </c>
      <c r="Q405" s="9" t="n">
        <f aca="false">IF(D405="",0,SUMIFS($P$8:$P$507,$D$8:$D$507,D405,$B$8:$B$507,"&lt;"&amp;B405)+SUMIFS($P$8:P404,$D$8:D404,D405,$B$8:B404,B405))</f>
        <v>0</v>
      </c>
      <c r="R405" s="9" t="n">
        <f aca="false">IF(D405="",0,IFERROR(INDEX(Suppliers!$R$7:$R$106,MATCH(D405,Suppliers!$B$7:$B$106,0)),0))</f>
        <v>0</v>
      </c>
      <c r="S405" s="9" t="str">
        <f aca="false">IF(N(K405)&gt;0,IF(H405="",99999,MIN(H405,IF(ISNUMBER(M405),M405,H405)))+ROW()/100000,"")</f>
        <v/>
      </c>
      <c r="U405" s="9" t="n">
        <f aca="false">IF(N(K405)&gt;0,N(L405),0)</f>
        <v>0</v>
      </c>
      <c r="V405" s="9" t="n">
        <f aca="false">IF(AND(N(K405)&gt;0,ISNUMBER(M405)),M405-Setup!$C$11,99999)</f>
        <v>99999</v>
      </c>
    </row>
    <row r="406" customFormat="false" ht="15" hidden="false" customHeight="false" outlineLevel="0" collapsed="false">
      <c r="A406" s="40" t="str">
        <f aca="false">IF(D406="","",ROW()-7)</f>
        <v/>
      </c>
      <c r="B406" s="79"/>
      <c r="C406" s="75"/>
      <c r="D406" s="76"/>
      <c r="E406" s="80"/>
      <c r="F406" s="79"/>
      <c r="G406" s="76"/>
      <c r="H406" s="54" t="str">
        <f aca="false">IF(OR(D406="",B406=""),"",IF(F406&lt;&gt;"",F406,B406+IFERROR(INDEX(Suppliers!$Q$7:$Q$106,MATCH(D406,Suppliers!$B$7:$B$106,0)),Setup!$C$7)))</f>
        <v/>
      </c>
      <c r="I406" s="46" t="str">
        <f aca="false">IF(OR(D406="",C406=""),IF(D406="","",0),SUMIFS(Payments!$D$8:$D$507,Payments!$C$8:$C$507,D406,Payments!$F$8:$F$507,C406))</f>
        <v/>
      </c>
      <c r="J406" s="46" t="str">
        <f aca="false">IF(D406="","",MIN(P406,MAX(0,R406-Q406)))</f>
        <v/>
      </c>
      <c r="K406" s="47" t="str">
        <f aca="false">IF(D406="","",P406-J406)</f>
        <v/>
      </c>
      <c r="L406" s="55" t="str">
        <f aca="false">IF(OR(D406="",N(K406)&lt;=0,H406=""),"",MAX(0,Setup!$C$11-H406))</f>
        <v/>
      </c>
      <c r="M406" s="54" t="str">
        <f aca="false">IF(OR(D406="",B406=""),"",IF(IFERROR(INDEX(Suppliers!$S$7:$S$106,MATCH(D406,Suppliers!$B$7:$B$106,0)),"")="","–",B406+IFERROR(INDEX(Suppliers!$S$7:$S$106,MATCH(D406,Suppliers!$B$7:$B$106,0)),"")))</f>
        <v/>
      </c>
      <c r="N406" s="56" t="str">
        <f aca="false">IF(D406="","",IF(N(K406)&lt;=0,"Paid",IF(AND(ISNUMBER(M406),Setup!$C$11&gt;M406),"⚠ MSME late",IF(N(L406)&gt;0,"Overdue",IF(N(V406)&lt;=Setup!$C$9,"⚠ MSME due soon",IF(K406&lt;E406,"Part paid","Not due"))))))</f>
        <v/>
      </c>
      <c r="O406" s="50" t="str">
        <f aca="false">IF(AND(D406="",B406="",C406="",E406=""),"",IF(D406="","⚠ Pick supplier",IF(ISNA(MATCH(D406,Suppliers!$B$7:$B$106,0)),"⚠ Supplier not in list",IF(B406="","⚠ Enter bill date",IF(N(E406)&lt;=0,"⚠ Enter amount",IF(AND(C406&lt;&gt;"",COUNTIFS($D$8:$D$507,D406,$C$8:$C$507,C406)&gt;1),"⚠ Bill no. used twice",IF(N(I406)&gt;N(E406),"⚠ Paid more than bill","✔")))))))</f>
        <v/>
      </c>
      <c r="P406" s="9" t="n">
        <f aca="false">IF(D406="",0,MAX(0,N(E406)-N(I406)))</f>
        <v>0</v>
      </c>
      <c r="Q406" s="9" t="n">
        <f aca="false">IF(D406="",0,SUMIFS($P$8:$P$507,$D$8:$D$507,D406,$B$8:$B$507,"&lt;"&amp;B406)+SUMIFS($P$8:P405,$D$8:D405,D406,$B$8:B405,B406))</f>
        <v>0</v>
      </c>
      <c r="R406" s="9" t="n">
        <f aca="false">IF(D406="",0,IFERROR(INDEX(Suppliers!$R$7:$R$106,MATCH(D406,Suppliers!$B$7:$B$106,0)),0))</f>
        <v>0</v>
      </c>
      <c r="S406" s="9" t="str">
        <f aca="false">IF(N(K406)&gt;0,IF(H406="",99999,MIN(H406,IF(ISNUMBER(M406),M406,H406)))+ROW()/100000,"")</f>
        <v/>
      </c>
      <c r="U406" s="9" t="n">
        <f aca="false">IF(N(K406)&gt;0,N(L406),0)</f>
        <v>0</v>
      </c>
      <c r="V406" s="9" t="n">
        <f aca="false">IF(AND(N(K406)&gt;0,ISNUMBER(M406)),M406-Setup!$C$11,99999)</f>
        <v>99999</v>
      </c>
    </row>
    <row r="407" customFormat="false" ht="15" hidden="false" customHeight="false" outlineLevel="0" collapsed="false">
      <c r="A407" s="40" t="str">
        <f aca="false">IF(D407="","",ROW()-7)</f>
        <v/>
      </c>
      <c r="B407" s="79"/>
      <c r="C407" s="75"/>
      <c r="D407" s="76"/>
      <c r="E407" s="80"/>
      <c r="F407" s="79"/>
      <c r="G407" s="76"/>
      <c r="H407" s="54" t="str">
        <f aca="false">IF(OR(D407="",B407=""),"",IF(F407&lt;&gt;"",F407,B407+IFERROR(INDEX(Suppliers!$Q$7:$Q$106,MATCH(D407,Suppliers!$B$7:$B$106,0)),Setup!$C$7)))</f>
        <v/>
      </c>
      <c r="I407" s="46" t="str">
        <f aca="false">IF(OR(D407="",C407=""),IF(D407="","",0),SUMIFS(Payments!$D$8:$D$507,Payments!$C$8:$C$507,D407,Payments!$F$8:$F$507,C407))</f>
        <v/>
      </c>
      <c r="J407" s="46" t="str">
        <f aca="false">IF(D407="","",MIN(P407,MAX(0,R407-Q407)))</f>
        <v/>
      </c>
      <c r="K407" s="47" t="str">
        <f aca="false">IF(D407="","",P407-J407)</f>
        <v/>
      </c>
      <c r="L407" s="55" t="str">
        <f aca="false">IF(OR(D407="",N(K407)&lt;=0,H407=""),"",MAX(0,Setup!$C$11-H407))</f>
        <v/>
      </c>
      <c r="M407" s="54" t="str">
        <f aca="false">IF(OR(D407="",B407=""),"",IF(IFERROR(INDEX(Suppliers!$S$7:$S$106,MATCH(D407,Suppliers!$B$7:$B$106,0)),"")="","–",B407+IFERROR(INDEX(Suppliers!$S$7:$S$106,MATCH(D407,Suppliers!$B$7:$B$106,0)),"")))</f>
        <v/>
      </c>
      <c r="N407" s="56" t="str">
        <f aca="false">IF(D407="","",IF(N(K407)&lt;=0,"Paid",IF(AND(ISNUMBER(M407),Setup!$C$11&gt;M407),"⚠ MSME late",IF(N(L407)&gt;0,"Overdue",IF(N(V407)&lt;=Setup!$C$9,"⚠ MSME due soon",IF(K407&lt;E407,"Part paid","Not due"))))))</f>
        <v/>
      </c>
      <c r="O407" s="50" t="str">
        <f aca="false">IF(AND(D407="",B407="",C407="",E407=""),"",IF(D407="","⚠ Pick supplier",IF(ISNA(MATCH(D407,Suppliers!$B$7:$B$106,0)),"⚠ Supplier not in list",IF(B407="","⚠ Enter bill date",IF(N(E407)&lt;=0,"⚠ Enter amount",IF(AND(C407&lt;&gt;"",COUNTIFS($D$8:$D$507,D407,$C$8:$C$507,C407)&gt;1),"⚠ Bill no. used twice",IF(N(I407)&gt;N(E407),"⚠ Paid more than bill","✔")))))))</f>
        <v/>
      </c>
      <c r="P407" s="9" t="n">
        <f aca="false">IF(D407="",0,MAX(0,N(E407)-N(I407)))</f>
        <v>0</v>
      </c>
      <c r="Q407" s="9" t="n">
        <f aca="false">IF(D407="",0,SUMIFS($P$8:$P$507,$D$8:$D$507,D407,$B$8:$B$507,"&lt;"&amp;B407)+SUMIFS($P$8:P406,$D$8:D406,D407,$B$8:B406,B407))</f>
        <v>0</v>
      </c>
      <c r="R407" s="9" t="n">
        <f aca="false">IF(D407="",0,IFERROR(INDEX(Suppliers!$R$7:$R$106,MATCH(D407,Suppliers!$B$7:$B$106,0)),0))</f>
        <v>0</v>
      </c>
      <c r="S407" s="9" t="str">
        <f aca="false">IF(N(K407)&gt;0,IF(H407="",99999,MIN(H407,IF(ISNUMBER(M407),M407,H407)))+ROW()/100000,"")</f>
        <v/>
      </c>
      <c r="U407" s="9" t="n">
        <f aca="false">IF(N(K407)&gt;0,N(L407),0)</f>
        <v>0</v>
      </c>
      <c r="V407" s="9" t="n">
        <f aca="false">IF(AND(N(K407)&gt;0,ISNUMBER(M407)),M407-Setup!$C$11,99999)</f>
        <v>99999</v>
      </c>
    </row>
    <row r="408" customFormat="false" ht="15" hidden="false" customHeight="false" outlineLevel="0" collapsed="false">
      <c r="A408" s="40" t="str">
        <f aca="false">IF(D408="","",ROW()-7)</f>
        <v/>
      </c>
      <c r="B408" s="79"/>
      <c r="C408" s="75"/>
      <c r="D408" s="76"/>
      <c r="E408" s="80"/>
      <c r="F408" s="79"/>
      <c r="G408" s="76"/>
      <c r="H408" s="54" t="str">
        <f aca="false">IF(OR(D408="",B408=""),"",IF(F408&lt;&gt;"",F408,B408+IFERROR(INDEX(Suppliers!$Q$7:$Q$106,MATCH(D408,Suppliers!$B$7:$B$106,0)),Setup!$C$7)))</f>
        <v/>
      </c>
      <c r="I408" s="46" t="str">
        <f aca="false">IF(OR(D408="",C408=""),IF(D408="","",0),SUMIFS(Payments!$D$8:$D$507,Payments!$C$8:$C$507,D408,Payments!$F$8:$F$507,C408))</f>
        <v/>
      </c>
      <c r="J408" s="46" t="str">
        <f aca="false">IF(D408="","",MIN(P408,MAX(0,R408-Q408)))</f>
        <v/>
      </c>
      <c r="K408" s="47" t="str">
        <f aca="false">IF(D408="","",P408-J408)</f>
        <v/>
      </c>
      <c r="L408" s="55" t="str">
        <f aca="false">IF(OR(D408="",N(K408)&lt;=0,H408=""),"",MAX(0,Setup!$C$11-H408))</f>
        <v/>
      </c>
      <c r="M408" s="54" t="str">
        <f aca="false">IF(OR(D408="",B408=""),"",IF(IFERROR(INDEX(Suppliers!$S$7:$S$106,MATCH(D408,Suppliers!$B$7:$B$106,0)),"")="","–",B408+IFERROR(INDEX(Suppliers!$S$7:$S$106,MATCH(D408,Suppliers!$B$7:$B$106,0)),"")))</f>
        <v/>
      </c>
      <c r="N408" s="56" t="str">
        <f aca="false">IF(D408="","",IF(N(K408)&lt;=0,"Paid",IF(AND(ISNUMBER(M408),Setup!$C$11&gt;M408),"⚠ MSME late",IF(N(L408)&gt;0,"Overdue",IF(N(V408)&lt;=Setup!$C$9,"⚠ MSME due soon",IF(K408&lt;E408,"Part paid","Not due"))))))</f>
        <v/>
      </c>
      <c r="O408" s="50" t="str">
        <f aca="false">IF(AND(D408="",B408="",C408="",E408=""),"",IF(D408="","⚠ Pick supplier",IF(ISNA(MATCH(D408,Suppliers!$B$7:$B$106,0)),"⚠ Supplier not in list",IF(B408="","⚠ Enter bill date",IF(N(E408)&lt;=0,"⚠ Enter amount",IF(AND(C408&lt;&gt;"",COUNTIFS($D$8:$D$507,D408,$C$8:$C$507,C408)&gt;1),"⚠ Bill no. used twice",IF(N(I408)&gt;N(E408),"⚠ Paid more than bill","✔")))))))</f>
        <v/>
      </c>
      <c r="P408" s="9" t="n">
        <f aca="false">IF(D408="",0,MAX(0,N(E408)-N(I408)))</f>
        <v>0</v>
      </c>
      <c r="Q408" s="9" t="n">
        <f aca="false">IF(D408="",0,SUMIFS($P$8:$P$507,$D$8:$D$507,D408,$B$8:$B$507,"&lt;"&amp;B408)+SUMIFS($P$8:P407,$D$8:D407,D408,$B$8:B407,B408))</f>
        <v>0</v>
      </c>
      <c r="R408" s="9" t="n">
        <f aca="false">IF(D408="",0,IFERROR(INDEX(Suppliers!$R$7:$R$106,MATCH(D408,Suppliers!$B$7:$B$106,0)),0))</f>
        <v>0</v>
      </c>
      <c r="S408" s="9" t="str">
        <f aca="false">IF(N(K408)&gt;0,IF(H408="",99999,MIN(H408,IF(ISNUMBER(M408),M408,H408)))+ROW()/100000,"")</f>
        <v/>
      </c>
      <c r="U408" s="9" t="n">
        <f aca="false">IF(N(K408)&gt;0,N(L408),0)</f>
        <v>0</v>
      </c>
      <c r="V408" s="9" t="n">
        <f aca="false">IF(AND(N(K408)&gt;0,ISNUMBER(M408)),M408-Setup!$C$11,99999)</f>
        <v>99999</v>
      </c>
    </row>
    <row r="409" customFormat="false" ht="15" hidden="false" customHeight="false" outlineLevel="0" collapsed="false">
      <c r="A409" s="40" t="str">
        <f aca="false">IF(D409="","",ROW()-7)</f>
        <v/>
      </c>
      <c r="B409" s="79"/>
      <c r="C409" s="75"/>
      <c r="D409" s="76"/>
      <c r="E409" s="80"/>
      <c r="F409" s="79"/>
      <c r="G409" s="76"/>
      <c r="H409" s="54" t="str">
        <f aca="false">IF(OR(D409="",B409=""),"",IF(F409&lt;&gt;"",F409,B409+IFERROR(INDEX(Suppliers!$Q$7:$Q$106,MATCH(D409,Suppliers!$B$7:$B$106,0)),Setup!$C$7)))</f>
        <v/>
      </c>
      <c r="I409" s="46" t="str">
        <f aca="false">IF(OR(D409="",C409=""),IF(D409="","",0),SUMIFS(Payments!$D$8:$D$507,Payments!$C$8:$C$507,D409,Payments!$F$8:$F$507,C409))</f>
        <v/>
      </c>
      <c r="J409" s="46" t="str">
        <f aca="false">IF(D409="","",MIN(P409,MAX(0,R409-Q409)))</f>
        <v/>
      </c>
      <c r="K409" s="47" t="str">
        <f aca="false">IF(D409="","",P409-J409)</f>
        <v/>
      </c>
      <c r="L409" s="55" t="str">
        <f aca="false">IF(OR(D409="",N(K409)&lt;=0,H409=""),"",MAX(0,Setup!$C$11-H409))</f>
        <v/>
      </c>
      <c r="M409" s="54" t="str">
        <f aca="false">IF(OR(D409="",B409=""),"",IF(IFERROR(INDEX(Suppliers!$S$7:$S$106,MATCH(D409,Suppliers!$B$7:$B$106,0)),"")="","–",B409+IFERROR(INDEX(Suppliers!$S$7:$S$106,MATCH(D409,Suppliers!$B$7:$B$106,0)),"")))</f>
        <v/>
      </c>
      <c r="N409" s="56" t="str">
        <f aca="false">IF(D409="","",IF(N(K409)&lt;=0,"Paid",IF(AND(ISNUMBER(M409),Setup!$C$11&gt;M409),"⚠ MSME late",IF(N(L409)&gt;0,"Overdue",IF(N(V409)&lt;=Setup!$C$9,"⚠ MSME due soon",IF(K409&lt;E409,"Part paid","Not due"))))))</f>
        <v/>
      </c>
      <c r="O409" s="50" t="str">
        <f aca="false">IF(AND(D409="",B409="",C409="",E409=""),"",IF(D409="","⚠ Pick supplier",IF(ISNA(MATCH(D409,Suppliers!$B$7:$B$106,0)),"⚠ Supplier not in list",IF(B409="","⚠ Enter bill date",IF(N(E409)&lt;=0,"⚠ Enter amount",IF(AND(C409&lt;&gt;"",COUNTIFS($D$8:$D$507,D409,$C$8:$C$507,C409)&gt;1),"⚠ Bill no. used twice",IF(N(I409)&gt;N(E409),"⚠ Paid more than bill","✔")))))))</f>
        <v/>
      </c>
      <c r="P409" s="9" t="n">
        <f aca="false">IF(D409="",0,MAX(0,N(E409)-N(I409)))</f>
        <v>0</v>
      </c>
      <c r="Q409" s="9" t="n">
        <f aca="false">IF(D409="",0,SUMIFS($P$8:$P$507,$D$8:$D$507,D409,$B$8:$B$507,"&lt;"&amp;B409)+SUMIFS($P$8:P408,$D$8:D408,D409,$B$8:B408,B409))</f>
        <v>0</v>
      </c>
      <c r="R409" s="9" t="n">
        <f aca="false">IF(D409="",0,IFERROR(INDEX(Suppliers!$R$7:$R$106,MATCH(D409,Suppliers!$B$7:$B$106,0)),0))</f>
        <v>0</v>
      </c>
      <c r="S409" s="9" t="str">
        <f aca="false">IF(N(K409)&gt;0,IF(H409="",99999,MIN(H409,IF(ISNUMBER(M409),M409,H409)))+ROW()/100000,"")</f>
        <v/>
      </c>
      <c r="U409" s="9" t="n">
        <f aca="false">IF(N(K409)&gt;0,N(L409),0)</f>
        <v>0</v>
      </c>
      <c r="V409" s="9" t="n">
        <f aca="false">IF(AND(N(K409)&gt;0,ISNUMBER(M409)),M409-Setup!$C$11,99999)</f>
        <v>99999</v>
      </c>
    </row>
    <row r="410" customFormat="false" ht="15" hidden="false" customHeight="false" outlineLevel="0" collapsed="false">
      <c r="A410" s="40" t="str">
        <f aca="false">IF(D410="","",ROW()-7)</f>
        <v/>
      </c>
      <c r="B410" s="79"/>
      <c r="C410" s="75"/>
      <c r="D410" s="76"/>
      <c r="E410" s="80"/>
      <c r="F410" s="79"/>
      <c r="G410" s="76"/>
      <c r="H410" s="54" t="str">
        <f aca="false">IF(OR(D410="",B410=""),"",IF(F410&lt;&gt;"",F410,B410+IFERROR(INDEX(Suppliers!$Q$7:$Q$106,MATCH(D410,Suppliers!$B$7:$B$106,0)),Setup!$C$7)))</f>
        <v/>
      </c>
      <c r="I410" s="46" t="str">
        <f aca="false">IF(OR(D410="",C410=""),IF(D410="","",0),SUMIFS(Payments!$D$8:$D$507,Payments!$C$8:$C$507,D410,Payments!$F$8:$F$507,C410))</f>
        <v/>
      </c>
      <c r="J410" s="46" t="str">
        <f aca="false">IF(D410="","",MIN(P410,MAX(0,R410-Q410)))</f>
        <v/>
      </c>
      <c r="K410" s="47" t="str">
        <f aca="false">IF(D410="","",P410-J410)</f>
        <v/>
      </c>
      <c r="L410" s="55" t="str">
        <f aca="false">IF(OR(D410="",N(K410)&lt;=0,H410=""),"",MAX(0,Setup!$C$11-H410))</f>
        <v/>
      </c>
      <c r="M410" s="54" t="str">
        <f aca="false">IF(OR(D410="",B410=""),"",IF(IFERROR(INDEX(Suppliers!$S$7:$S$106,MATCH(D410,Suppliers!$B$7:$B$106,0)),"")="","–",B410+IFERROR(INDEX(Suppliers!$S$7:$S$106,MATCH(D410,Suppliers!$B$7:$B$106,0)),"")))</f>
        <v/>
      </c>
      <c r="N410" s="56" t="str">
        <f aca="false">IF(D410="","",IF(N(K410)&lt;=0,"Paid",IF(AND(ISNUMBER(M410),Setup!$C$11&gt;M410),"⚠ MSME late",IF(N(L410)&gt;0,"Overdue",IF(N(V410)&lt;=Setup!$C$9,"⚠ MSME due soon",IF(K410&lt;E410,"Part paid","Not due"))))))</f>
        <v/>
      </c>
      <c r="O410" s="50" t="str">
        <f aca="false">IF(AND(D410="",B410="",C410="",E410=""),"",IF(D410="","⚠ Pick supplier",IF(ISNA(MATCH(D410,Suppliers!$B$7:$B$106,0)),"⚠ Supplier not in list",IF(B410="","⚠ Enter bill date",IF(N(E410)&lt;=0,"⚠ Enter amount",IF(AND(C410&lt;&gt;"",COUNTIFS($D$8:$D$507,D410,$C$8:$C$507,C410)&gt;1),"⚠ Bill no. used twice",IF(N(I410)&gt;N(E410),"⚠ Paid more than bill","✔")))))))</f>
        <v/>
      </c>
      <c r="P410" s="9" t="n">
        <f aca="false">IF(D410="",0,MAX(0,N(E410)-N(I410)))</f>
        <v>0</v>
      </c>
      <c r="Q410" s="9" t="n">
        <f aca="false">IF(D410="",0,SUMIFS($P$8:$P$507,$D$8:$D$507,D410,$B$8:$B$507,"&lt;"&amp;B410)+SUMIFS($P$8:P409,$D$8:D409,D410,$B$8:B409,B410))</f>
        <v>0</v>
      </c>
      <c r="R410" s="9" t="n">
        <f aca="false">IF(D410="",0,IFERROR(INDEX(Suppliers!$R$7:$R$106,MATCH(D410,Suppliers!$B$7:$B$106,0)),0))</f>
        <v>0</v>
      </c>
      <c r="S410" s="9" t="str">
        <f aca="false">IF(N(K410)&gt;0,IF(H410="",99999,MIN(H410,IF(ISNUMBER(M410),M410,H410)))+ROW()/100000,"")</f>
        <v/>
      </c>
      <c r="U410" s="9" t="n">
        <f aca="false">IF(N(K410)&gt;0,N(L410),0)</f>
        <v>0</v>
      </c>
      <c r="V410" s="9" t="n">
        <f aca="false">IF(AND(N(K410)&gt;0,ISNUMBER(M410)),M410-Setup!$C$11,99999)</f>
        <v>99999</v>
      </c>
    </row>
    <row r="411" customFormat="false" ht="15" hidden="false" customHeight="false" outlineLevel="0" collapsed="false">
      <c r="A411" s="40" t="str">
        <f aca="false">IF(D411="","",ROW()-7)</f>
        <v/>
      </c>
      <c r="B411" s="79"/>
      <c r="C411" s="75"/>
      <c r="D411" s="76"/>
      <c r="E411" s="80"/>
      <c r="F411" s="79"/>
      <c r="G411" s="76"/>
      <c r="H411" s="54" t="str">
        <f aca="false">IF(OR(D411="",B411=""),"",IF(F411&lt;&gt;"",F411,B411+IFERROR(INDEX(Suppliers!$Q$7:$Q$106,MATCH(D411,Suppliers!$B$7:$B$106,0)),Setup!$C$7)))</f>
        <v/>
      </c>
      <c r="I411" s="46" t="str">
        <f aca="false">IF(OR(D411="",C411=""),IF(D411="","",0),SUMIFS(Payments!$D$8:$D$507,Payments!$C$8:$C$507,D411,Payments!$F$8:$F$507,C411))</f>
        <v/>
      </c>
      <c r="J411" s="46" t="str">
        <f aca="false">IF(D411="","",MIN(P411,MAX(0,R411-Q411)))</f>
        <v/>
      </c>
      <c r="K411" s="47" t="str">
        <f aca="false">IF(D411="","",P411-J411)</f>
        <v/>
      </c>
      <c r="L411" s="55" t="str">
        <f aca="false">IF(OR(D411="",N(K411)&lt;=0,H411=""),"",MAX(0,Setup!$C$11-H411))</f>
        <v/>
      </c>
      <c r="M411" s="54" t="str">
        <f aca="false">IF(OR(D411="",B411=""),"",IF(IFERROR(INDEX(Suppliers!$S$7:$S$106,MATCH(D411,Suppliers!$B$7:$B$106,0)),"")="","–",B411+IFERROR(INDEX(Suppliers!$S$7:$S$106,MATCH(D411,Suppliers!$B$7:$B$106,0)),"")))</f>
        <v/>
      </c>
      <c r="N411" s="56" t="str">
        <f aca="false">IF(D411="","",IF(N(K411)&lt;=0,"Paid",IF(AND(ISNUMBER(M411),Setup!$C$11&gt;M411),"⚠ MSME late",IF(N(L411)&gt;0,"Overdue",IF(N(V411)&lt;=Setup!$C$9,"⚠ MSME due soon",IF(K411&lt;E411,"Part paid","Not due"))))))</f>
        <v/>
      </c>
      <c r="O411" s="50" t="str">
        <f aca="false">IF(AND(D411="",B411="",C411="",E411=""),"",IF(D411="","⚠ Pick supplier",IF(ISNA(MATCH(D411,Suppliers!$B$7:$B$106,0)),"⚠ Supplier not in list",IF(B411="","⚠ Enter bill date",IF(N(E411)&lt;=0,"⚠ Enter amount",IF(AND(C411&lt;&gt;"",COUNTIFS($D$8:$D$507,D411,$C$8:$C$507,C411)&gt;1),"⚠ Bill no. used twice",IF(N(I411)&gt;N(E411),"⚠ Paid more than bill","✔")))))))</f>
        <v/>
      </c>
      <c r="P411" s="9" t="n">
        <f aca="false">IF(D411="",0,MAX(0,N(E411)-N(I411)))</f>
        <v>0</v>
      </c>
      <c r="Q411" s="9" t="n">
        <f aca="false">IF(D411="",0,SUMIFS($P$8:$P$507,$D$8:$D$507,D411,$B$8:$B$507,"&lt;"&amp;B411)+SUMIFS($P$8:P410,$D$8:D410,D411,$B$8:B410,B411))</f>
        <v>0</v>
      </c>
      <c r="R411" s="9" t="n">
        <f aca="false">IF(D411="",0,IFERROR(INDEX(Suppliers!$R$7:$R$106,MATCH(D411,Suppliers!$B$7:$B$106,0)),0))</f>
        <v>0</v>
      </c>
      <c r="S411" s="9" t="str">
        <f aca="false">IF(N(K411)&gt;0,IF(H411="",99999,MIN(H411,IF(ISNUMBER(M411),M411,H411)))+ROW()/100000,"")</f>
        <v/>
      </c>
      <c r="U411" s="9" t="n">
        <f aca="false">IF(N(K411)&gt;0,N(L411),0)</f>
        <v>0</v>
      </c>
      <c r="V411" s="9" t="n">
        <f aca="false">IF(AND(N(K411)&gt;0,ISNUMBER(M411)),M411-Setup!$C$11,99999)</f>
        <v>99999</v>
      </c>
    </row>
    <row r="412" customFormat="false" ht="15" hidden="false" customHeight="false" outlineLevel="0" collapsed="false">
      <c r="A412" s="40" t="str">
        <f aca="false">IF(D412="","",ROW()-7)</f>
        <v/>
      </c>
      <c r="B412" s="79"/>
      <c r="C412" s="75"/>
      <c r="D412" s="76"/>
      <c r="E412" s="80"/>
      <c r="F412" s="79"/>
      <c r="G412" s="76"/>
      <c r="H412" s="54" t="str">
        <f aca="false">IF(OR(D412="",B412=""),"",IF(F412&lt;&gt;"",F412,B412+IFERROR(INDEX(Suppliers!$Q$7:$Q$106,MATCH(D412,Suppliers!$B$7:$B$106,0)),Setup!$C$7)))</f>
        <v/>
      </c>
      <c r="I412" s="46" t="str">
        <f aca="false">IF(OR(D412="",C412=""),IF(D412="","",0),SUMIFS(Payments!$D$8:$D$507,Payments!$C$8:$C$507,D412,Payments!$F$8:$F$507,C412))</f>
        <v/>
      </c>
      <c r="J412" s="46" t="str">
        <f aca="false">IF(D412="","",MIN(P412,MAX(0,R412-Q412)))</f>
        <v/>
      </c>
      <c r="K412" s="47" t="str">
        <f aca="false">IF(D412="","",P412-J412)</f>
        <v/>
      </c>
      <c r="L412" s="55" t="str">
        <f aca="false">IF(OR(D412="",N(K412)&lt;=0,H412=""),"",MAX(0,Setup!$C$11-H412))</f>
        <v/>
      </c>
      <c r="M412" s="54" t="str">
        <f aca="false">IF(OR(D412="",B412=""),"",IF(IFERROR(INDEX(Suppliers!$S$7:$S$106,MATCH(D412,Suppliers!$B$7:$B$106,0)),"")="","–",B412+IFERROR(INDEX(Suppliers!$S$7:$S$106,MATCH(D412,Suppliers!$B$7:$B$106,0)),"")))</f>
        <v/>
      </c>
      <c r="N412" s="56" t="str">
        <f aca="false">IF(D412="","",IF(N(K412)&lt;=0,"Paid",IF(AND(ISNUMBER(M412),Setup!$C$11&gt;M412),"⚠ MSME late",IF(N(L412)&gt;0,"Overdue",IF(N(V412)&lt;=Setup!$C$9,"⚠ MSME due soon",IF(K412&lt;E412,"Part paid","Not due"))))))</f>
        <v/>
      </c>
      <c r="O412" s="50" t="str">
        <f aca="false">IF(AND(D412="",B412="",C412="",E412=""),"",IF(D412="","⚠ Pick supplier",IF(ISNA(MATCH(D412,Suppliers!$B$7:$B$106,0)),"⚠ Supplier not in list",IF(B412="","⚠ Enter bill date",IF(N(E412)&lt;=0,"⚠ Enter amount",IF(AND(C412&lt;&gt;"",COUNTIFS($D$8:$D$507,D412,$C$8:$C$507,C412)&gt;1),"⚠ Bill no. used twice",IF(N(I412)&gt;N(E412),"⚠ Paid more than bill","✔")))))))</f>
        <v/>
      </c>
      <c r="P412" s="9" t="n">
        <f aca="false">IF(D412="",0,MAX(0,N(E412)-N(I412)))</f>
        <v>0</v>
      </c>
      <c r="Q412" s="9" t="n">
        <f aca="false">IF(D412="",0,SUMIFS($P$8:$P$507,$D$8:$D$507,D412,$B$8:$B$507,"&lt;"&amp;B412)+SUMIFS($P$8:P411,$D$8:D411,D412,$B$8:B411,B412))</f>
        <v>0</v>
      </c>
      <c r="R412" s="9" t="n">
        <f aca="false">IF(D412="",0,IFERROR(INDEX(Suppliers!$R$7:$R$106,MATCH(D412,Suppliers!$B$7:$B$106,0)),0))</f>
        <v>0</v>
      </c>
      <c r="S412" s="9" t="str">
        <f aca="false">IF(N(K412)&gt;0,IF(H412="",99999,MIN(H412,IF(ISNUMBER(M412),M412,H412)))+ROW()/100000,"")</f>
        <v/>
      </c>
      <c r="U412" s="9" t="n">
        <f aca="false">IF(N(K412)&gt;0,N(L412),0)</f>
        <v>0</v>
      </c>
      <c r="V412" s="9" t="n">
        <f aca="false">IF(AND(N(K412)&gt;0,ISNUMBER(M412)),M412-Setup!$C$11,99999)</f>
        <v>99999</v>
      </c>
    </row>
    <row r="413" customFormat="false" ht="15" hidden="false" customHeight="false" outlineLevel="0" collapsed="false">
      <c r="A413" s="40" t="str">
        <f aca="false">IF(D413="","",ROW()-7)</f>
        <v/>
      </c>
      <c r="B413" s="79"/>
      <c r="C413" s="75"/>
      <c r="D413" s="76"/>
      <c r="E413" s="80"/>
      <c r="F413" s="79"/>
      <c r="G413" s="76"/>
      <c r="H413" s="54" t="str">
        <f aca="false">IF(OR(D413="",B413=""),"",IF(F413&lt;&gt;"",F413,B413+IFERROR(INDEX(Suppliers!$Q$7:$Q$106,MATCH(D413,Suppliers!$B$7:$B$106,0)),Setup!$C$7)))</f>
        <v/>
      </c>
      <c r="I413" s="46" t="str">
        <f aca="false">IF(OR(D413="",C413=""),IF(D413="","",0),SUMIFS(Payments!$D$8:$D$507,Payments!$C$8:$C$507,D413,Payments!$F$8:$F$507,C413))</f>
        <v/>
      </c>
      <c r="J413" s="46" t="str">
        <f aca="false">IF(D413="","",MIN(P413,MAX(0,R413-Q413)))</f>
        <v/>
      </c>
      <c r="K413" s="47" t="str">
        <f aca="false">IF(D413="","",P413-J413)</f>
        <v/>
      </c>
      <c r="L413" s="55" t="str">
        <f aca="false">IF(OR(D413="",N(K413)&lt;=0,H413=""),"",MAX(0,Setup!$C$11-H413))</f>
        <v/>
      </c>
      <c r="M413" s="54" t="str">
        <f aca="false">IF(OR(D413="",B413=""),"",IF(IFERROR(INDEX(Suppliers!$S$7:$S$106,MATCH(D413,Suppliers!$B$7:$B$106,0)),"")="","–",B413+IFERROR(INDEX(Suppliers!$S$7:$S$106,MATCH(D413,Suppliers!$B$7:$B$106,0)),"")))</f>
        <v/>
      </c>
      <c r="N413" s="56" t="str">
        <f aca="false">IF(D413="","",IF(N(K413)&lt;=0,"Paid",IF(AND(ISNUMBER(M413),Setup!$C$11&gt;M413),"⚠ MSME late",IF(N(L413)&gt;0,"Overdue",IF(N(V413)&lt;=Setup!$C$9,"⚠ MSME due soon",IF(K413&lt;E413,"Part paid","Not due"))))))</f>
        <v/>
      </c>
      <c r="O413" s="50" t="str">
        <f aca="false">IF(AND(D413="",B413="",C413="",E413=""),"",IF(D413="","⚠ Pick supplier",IF(ISNA(MATCH(D413,Suppliers!$B$7:$B$106,0)),"⚠ Supplier not in list",IF(B413="","⚠ Enter bill date",IF(N(E413)&lt;=0,"⚠ Enter amount",IF(AND(C413&lt;&gt;"",COUNTIFS($D$8:$D$507,D413,$C$8:$C$507,C413)&gt;1),"⚠ Bill no. used twice",IF(N(I413)&gt;N(E413),"⚠ Paid more than bill","✔")))))))</f>
        <v/>
      </c>
      <c r="P413" s="9" t="n">
        <f aca="false">IF(D413="",0,MAX(0,N(E413)-N(I413)))</f>
        <v>0</v>
      </c>
      <c r="Q413" s="9" t="n">
        <f aca="false">IF(D413="",0,SUMIFS($P$8:$P$507,$D$8:$D$507,D413,$B$8:$B$507,"&lt;"&amp;B413)+SUMIFS($P$8:P412,$D$8:D412,D413,$B$8:B412,B413))</f>
        <v>0</v>
      </c>
      <c r="R413" s="9" t="n">
        <f aca="false">IF(D413="",0,IFERROR(INDEX(Suppliers!$R$7:$R$106,MATCH(D413,Suppliers!$B$7:$B$106,0)),0))</f>
        <v>0</v>
      </c>
      <c r="S413" s="9" t="str">
        <f aca="false">IF(N(K413)&gt;0,IF(H413="",99999,MIN(H413,IF(ISNUMBER(M413),M413,H413)))+ROW()/100000,"")</f>
        <v/>
      </c>
      <c r="U413" s="9" t="n">
        <f aca="false">IF(N(K413)&gt;0,N(L413),0)</f>
        <v>0</v>
      </c>
      <c r="V413" s="9" t="n">
        <f aca="false">IF(AND(N(K413)&gt;0,ISNUMBER(M413)),M413-Setup!$C$11,99999)</f>
        <v>99999</v>
      </c>
    </row>
    <row r="414" customFormat="false" ht="15" hidden="false" customHeight="false" outlineLevel="0" collapsed="false">
      <c r="A414" s="40" t="str">
        <f aca="false">IF(D414="","",ROW()-7)</f>
        <v/>
      </c>
      <c r="B414" s="79"/>
      <c r="C414" s="75"/>
      <c r="D414" s="76"/>
      <c r="E414" s="80"/>
      <c r="F414" s="79"/>
      <c r="G414" s="76"/>
      <c r="H414" s="54" t="str">
        <f aca="false">IF(OR(D414="",B414=""),"",IF(F414&lt;&gt;"",F414,B414+IFERROR(INDEX(Suppliers!$Q$7:$Q$106,MATCH(D414,Suppliers!$B$7:$B$106,0)),Setup!$C$7)))</f>
        <v/>
      </c>
      <c r="I414" s="46" t="str">
        <f aca="false">IF(OR(D414="",C414=""),IF(D414="","",0),SUMIFS(Payments!$D$8:$D$507,Payments!$C$8:$C$507,D414,Payments!$F$8:$F$507,C414))</f>
        <v/>
      </c>
      <c r="J414" s="46" t="str">
        <f aca="false">IF(D414="","",MIN(P414,MAX(0,R414-Q414)))</f>
        <v/>
      </c>
      <c r="K414" s="47" t="str">
        <f aca="false">IF(D414="","",P414-J414)</f>
        <v/>
      </c>
      <c r="L414" s="55" t="str">
        <f aca="false">IF(OR(D414="",N(K414)&lt;=0,H414=""),"",MAX(0,Setup!$C$11-H414))</f>
        <v/>
      </c>
      <c r="M414" s="54" t="str">
        <f aca="false">IF(OR(D414="",B414=""),"",IF(IFERROR(INDEX(Suppliers!$S$7:$S$106,MATCH(D414,Suppliers!$B$7:$B$106,0)),"")="","–",B414+IFERROR(INDEX(Suppliers!$S$7:$S$106,MATCH(D414,Suppliers!$B$7:$B$106,0)),"")))</f>
        <v/>
      </c>
      <c r="N414" s="56" t="str">
        <f aca="false">IF(D414="","",IF(N(K414)&lt;=0,"Paid",IF(AND(ISNUMBER(M414),Setup!$C$11&gt;M414),"⚠ MSME late",IF(N(L414)&gt;0,"Overdue",IF(N(V414)&lt;=Setup!$C$9,"⚠ MSME due soon",IF(K414&lt;E414,"Part paid","Not due"))))))</f>
        <v/>
      </c>
      <c r="O414" s="50" t="str">
        <f aca="false">IF(AND(D414="",B414="",C414="",E414=""),"",IF(D414="","⚠ Pick supplier",IF(ISNA(MATCH(D414,Suppliers!$B$7:$B$106,0)),"⚠ Supplier not in list",IF(B414="","⚠ Enter bill date",IF(N(E414)&lt;=0,"⚠ Enter amount",IF(AND(C414&lt;&gt;"",COUNTIFS($D$8:$D$507,D414,$C$8:$C$507,C414)&gt;1),"⚠ Bill no. used twice",IF(N(I414)&gt;N(E414),"⚠ Paid more than bill","✔")))))))</f>
        <v/>
      </c>
      <c r="P414" s="9" t="n">
        <f aca="false">IF(D414="",0,MAX(0,N(E414)-N(I414)))</f>
        <v>0</v>
      </c>
      <c r="Q414" s="9" t="n">
        <f aca="false">IF(D414="",0,SUMIFS($P$8:$P$507,$D$8:$D$507,D414,$B$8:$B$507,"&lt;"&amp;B414)+SUMIFS($P$8:P413,$D$8:D413,D414,$B$8:B413,B414))</f>
        <v>0</v>
      </c>
      <c r="R414" s="9" t="n">
        <f aca="false">IF(D414="",0,IFERROR(INDEX(Suppliers!$R$7:$R$106,MATCH(D414,Suppliers!$B$7:$B$106,0)),0))</f>
        <v>0</v>
      </c>
      <c r="S414" s="9" t="str">
        <f aca="false">IF(N(K414)&gt;0,IF(H414="",99999,MIN(H414,IF(ISNUMBER(M414),M414,H414)))+ROW()/100000,"")</f>
        <v/>
      </c>
      <c r="U414" s="9" t="n">
        <f aca="false">IF(N(K414)&gt;0,N(L414),0)</f>
        <v>0</v>
      </c>
      <c r="V414" s="9" t="n">
        <f aca="false">IF(AND(N(K414)&gt;0,ISNUMBER(M414)),M414-Setup!$C$11,99999)</f>
        <v>99999</v>
      </c>
    </row>
    <row r="415" customFormat="false" ht="15" hidden="false" customHeight="false" outlineLevel="0" collapsed="false">
      <c r="A415" s="40" t="str">
        <f aca="false">IF(D415="","",ROW()-7)</f>
        <v/>
      </c>
      <c r="B415" s="79"/>
      <c r="C415" s="75"/>
      <c r="D415" s="76"/>
      <c r="E415" s="80"/>
      <c r="F415" s="79"/>
      <c r="G415" s="76"/>
      <c r="H415" s="54" t="str">
        <f aca="false">IF(OR(D415="",B415=""),"",IF(F415&lt;&gt;"",F415,B415+IFERROR(INDEX(Suppliers!$Q$7:$Q$106,MATCH(D415,Suppliers!$B$7:$B$106,0)),Setup!$C$7)))</f>
        <v/>
      </c>
      <c r="I415" s="46" t="str">
        <f aca="false">IF(OR(D415="",C415=""),IF(D415="","",0),SUMIFS(Payments!$D$8:$D$507,Payments!$C$8:$C$507,D415,Payments!$F$8:$F$507,C415))</f>
        <v/>
      </c>
      <c r="J415" s="46" t="str">
        <f aca="false">IF(D415="","",MIN(P415,MAX(0,R415-Q415)))</f>
        <v/>
      </c>
      <c r="K415" s="47" t="str">
        <f aca="false">IF(D415="","",P415-J415)</f>
        <v/>
      </c>
      <c r="L415" s="55" t="str">
        <f aca="false">IF(OR(D415="",N(K415)&lt;=0,H415=""),"",MAX(0,Setup!$C$11-H415))</f>
        <v/>
      </c>
      <c r="M415" s="54" t="str">
        <f aca="false">IF(OR(D415="",B415=""),"",IF(IFERROR(INDEX(Suppliers!$S$7:$S$106,MATCH(D415,Suppliers!$B$7:$B$106,0)),"")="","–",B415+IFERROR(INDEX(Suppliers!$S$7:$S$106,MATCH(D415,Suppliers!$B$7:$B$106,0)),"")))</f>
        <v/>
      </c>
      <c r="N415" s="56" t="str">
        <f aca="false">IF(D415="","",IF(N(K415)&lt;=0,"Paid",IF(AND(ISNUMBER(M415),Setup!$C$11&gt;M415),"⚠ MSME late",IF(N(L415)&gt;0,"Overdue",IF(N(V415)&lt;=Setup!$C$9,"⚠ MSME due soon",IF(K415&lt;E415,"Part paid","Not due"))))))</f>
        <v/>
      </c>
      <c r="O415" s="50" t="str">
        <f aca="false">IF(AND(D415="",B415="",C415="",E415=""),"",IF(D415="","⚠ Pick supplier",IF(ISNA(MATCH(D415,Suppliers!$B$7:$B$106,0)),"⚠ Supplier not in list",IF(B415="","⚠ Enter bill date",IF(N(E415)&lt;=0,"⚠ Enter amount",IF(AND(C415&lt;&gt;"",COUNTIFS($D$8:$D$507,D415,$C$8:$C$507,C415)&gt;1),"⚠ Bill no. used twice",IF(N(I415)&gt;N(E415),"⚠ Paid more than bill","✔")))))))</f>
        <v/>
      </c>
      <c r="P415" s="9" t="n">
        <f aca="false">IF(D415="",0,MAX(0,N(E415)-N(I415)))</f>
        <v>0</v>
      </c>
      <c r="Q415" s="9" t="n">
        <f aca="false">IF(D415="",0,SUMIFS($P$8:$P$507,$D$8:$D$507,D415,$B$8:$B$507,"&lt;"&amp;B415)+SUMIFS($P$8:P414,$D$8:D414,D415,$B$8:B414,B415))</f>
        <v>0</v>
      </c>
      <c r="R415" s="9" t="n">
        <f aca="false">IF(D415="",0,IFERROR(INDEX(Suppliers!$R$7:$R$106,MATCH(D415,Suppliers!$B$7:$B$106,0)),0))</f>
        <v>0</v>
      </c>
      <c r="S415" s="9" t="str">
        <f aca="false">IF(N(K415)&gt;0,IF(H415="",99999,MIN(H415,IF(ISNUMBER(M415),M415,H415)))+ROW()/100000,"")</f>
        <v/>
      </c>
      <c r="U415" s="9" t="n">
        <f aca="false">IF(N(K415)&gt;0,N(L415),0)</f>
        <v>0</v>
      </c>
      <c r="V415" s="9" t="n">
        <f aca="false">IF(AND(N(K415)&gt;0,ISNUMBER(M415)),M415-Setup!$C$11,99999)</f>
        <v>99999</v>
      </c>
    </row>
    <row r="416" customFormat="false" ht="15" hidden="false" customHeight="false" outlineLevel="0" collapsed="false">
      <c r="A416" s="40" t="str">
        <f aca="false">IF(D416="","",ROW()-7)</f>
        <v/>
      </c>
      <c r="B416" s="79"/>
      <c r="C416" s="75"/>
      <c r="D416" s="76"/>
      <c r="E416" s="80"/>
      <c r="F416" s="79"/>
      <c r="G416" s="76"/>
      <c r="H416" s="54" t="str">
        <f aca="false">IF(OR(D416="",B416=""),"",IF(F416&lt;&gt;"",F416,B416+IFERROR(INDEX(Suppliers!$Q$7:$Q$106,MATCH(D416,Suppliers!$B$7:$B$106,0)),Setup!$C$7)))</f>
        <v/>
      </c>
      <c r="I416" s="46" t="str">
        <f aca="false">IF(OR(D416="",C416=""),IF(D416="","",0),SUMIFS(Payments!$D$8:$D$507,Payments!$C$8:$C$507,D416,Payments!$F$8:$F$507,C416))</f>
        <v/>
      </c>
      <c r="J416" s="46" t="str">
        <f aca="false">IF(D416="","",MIN(P416,MAX(0,R416-Q416)))</f>
        <v/>
      </c>
      <c r="K416" s="47" t="str">
        <f aca="false">IF(D416="","",P416-J416)</f>
        <v/>
      </c>
      <c r="L416" s="55" t="str">
        <f aca="false">IF(OR(D416="",N(K416)&lt;=0,H416=""),"",MAX(0,Setup!$C$11-H416))</f>
        <v/>
      </c>
      <c r="M416" s="54" t="str">
        <f aca="false">IF(OR(D416="",B416=""),"",IF(IFERROR(INDEX(Suppliers!$S$7:$S$106,MATCH(D416,Suppliers!$B$7:$B$106,0)),"")="","–",B416+IFERROR(INDEX(Suppliers!$S$7:$S$106,MATCH(D416,Suppliers!$B$7:$B$106,0)),"")))</f>
        <v/>
      </c>
      <c r="N416" s="56" t="str">
        <f aca="false">IF(D416="","",IF(N(K416)&lt;=0,"Paid",IF(AND(ISNUMBER(M416),Setup!$C$11&gt;M416),"⚠ MSME late",IF(N(L416)&gt;0,"Overdue",IF(N(V416)&lt;=Setup!$C$9,"⚠ MSME due soon",IF(K416&lt;E416,"Part paid","Not due"))))))</f>
        <v/>
      </c>
      <c r="O416" s="50" t="str">
        <f aca="false">IF(AND(D416="",B416="",C416="",E416=""),"",IF(D416="","⚠ Pick supplier",IF(ISNA(MATCH(D416,Suppliers!$B$7:$B$106,0)),"⚠ Supplier not in list",IF(B416="","⚠ Enter bill date",IF(N(E416)&lt;=0,"⚠ Enter amount",IF(AND(C416&lt;&gt;"",COUNTIFS($D$8:$D$507,D416,$C$8:$C$507,C416)&gt;1),"⚠ Bill no. used twice",IF(N(I416)&gt;N(E416),"⚠ Paid more than bill","✔")))))))</f>
        <v/>
      </c>
      <c r="P416" s="9" t="n">
        <f aca="false">IF(D416="",0,MAX(0,N(E416)-N(I416)))</f>
        <v>0</v>
      </c>
      <c r="Q416" s="9" t="n">
        <f aca="false">IF(D416="",0,SUMIFS($P$8:$P$507,$D$8:$D$507,D416,$B$8:$B$507,"&lt;"&amp;B416)+SUMIFS($P$8:P415,$D$8:D415,D416,$B$8:B415,B416))</f>
        <v>0</v>
      </c>
      <c r="R416" s="9" t="n">
        <f aca="false">IF(D416="",0,IFERROR(INDEX(Suppliers!$R$7:$R$106,MATCH(D416,Suppliers!$B$7:$B$106,0)),0))</f>
        <v>0</v>
      </c>
      <c r="S416" s="9" t="str">
        <f aca="false">IF(N(K416)&gt;0,IF(H416="",99999,MIN(H416,IF(ISNUMBER(M416),M416,H416)))+ROW()/100000,"")</f>
        <v/>
      </c>
      <c r="U416" s="9" t="n">
        <f aca="false">IF(N(K416)&gt;0,N(L416),0)</f>
        <v>0</v>
      </c>
      <c r="V416" s="9" t="n">
        <f aca="false">IF(AND(N(K416)&gt;0,ISNUMBER(M416)),M416-Setup!$C$11,99999)</f>
        <v>99999</v>
      </c>
    </row>
    <row r="417" customFormat="false" ht="15" hidden="false" customHeight="false" outlineLevel="0" collapsed="false">
      <c r="A417" s="40" t="str">
        <f aca="false">IF(D417="","",ROW()-7)</f>
        <v/>
      </c>
      <c r="B417" s="79"/>
      <c r="C417" s="75"/>
      <c r="D417" s="76"/>
      <c r="E417" s="80"/>
      <c r="F417" s="79"/>
      <c r="G417" s="76"/>
      <c r="H417" s="54" t="str">
        <f aca="false">IF(OR(D417="",B417=""),"",IF(F417&lt;&gt;"",F417,B417+IFERROR(INDEX(Suppliers!$Q$7:$Q$106,MATCH(D417,Suppliers!$B$7:$B$106,0)),Setup!$C$7)))</f>
        <v/>
      </c>
      <c r="I417" s="46" t="str">
        <f aca="false">IF(OR(D417="",C417=""),IF(D417="","",0),SUMIFS(Payments!$D$8:$D$507,Payments!$C$8:$C$507,D417,Payments!$F$8:$F$507,C417))</f>
        <v/>
      </c>
      <c r="J417" s="46" t="str">
        <f aca="false">IF(D417="","",MIN(P417,MAX(0,R417-Q417)))</f>
        <v/>
      </c>
      <c r="K417" s="47" t="str">
        <f aca="false">IF(D417="","",P417-J417)</f>
        <v/>
      </c>
      <c r="L417" s="55" t="str">
        <f aca="false">IF(OR(D417="",N(K417)&lt;=0,H417=""),"",MAX(0,Setup!$C$11-H417))</f>
        <v/>
      </c>
      <c r="M417" s="54" t="str">
        <f aca="false">IF(OR(D417="",B417=""),"",IF(IFERROR(INDEX(Suppliers!$S$7:$S$106,MATCH(D417,Suppliers!$B$7:$B$106,0)),"")="","–",B417+IFERROR(INDEX(Suppliers!$S$7:$S$106,MATCH(D417,Suppliers!$B$7:$B$106,0)),"")))</f>
        <v/>
      </c>
      <c r="N417" s="56" t="str">
        <f aca="false">IF(D417="","",IF(N(K417)&lt;=0,"Paid",IF(AND(ISNUMBER(M417),Setup!$C$11&gt;M417),"⚠ MSME late",IF(N(L417)&gt;0,"Overdue",IF(N(V417)&lt;=Setup!$C$9,"⚠ MSME due soon",IF(K417&lt;E417,"Part paid","Not due"))))))</f>
        <v/>
      </c>
      <c r="O417" s="50" t="str">
        <f aca="false">IF(AND(D417="",B417="",C417="",E417=""),"",IF(D417="","⚠ Pick supplier",IF(ISNA(MATCH(D417,Suppliers!$B$7:$B$106,0)),"⚠ Supplier not in list",IF(B417="","⚠ Enter bill date",IF(N(E417)&lt;=0,"⚠ Enter amount",IF(AND(C417&lt;&gt;"",COUNTIFS($D$8:$D$507,D417,$C$8:$C$507,C417)&gt;1),"⚠ Bill no. used twice",IF(N(I417)&gt;N(E417),"⚠ Paid more than bill","✔")))))))</f>
        <v/>
      </c>
      <c r="P417" s="9" t="n">
        <f aca="false">IF(D417="",0,MAX(0,N(E417)-N(I417)))</f>
        <v>0</v>
      </c>
      <c r="Q417" s="9" t="n">
        <f aca="false">IF(D417="",0,SUMIFS($P$8:$P$507,$D$8:$D$507,D417,$B$8:$B$507,"&lt;"&amp;B417)+SUMIFS($P$8:P416,$D$8:D416,D417,$B$8:B416,B417))</f>
        <v>0</v>
      </c>
      <c r="R417" s="9" t="n">
        <f aca="false">IF(D417="",0,IFERROR(INDEX(Suppliers!$R$7:$R$106,MATCH(D417,Suppliers!$B$7:$B$106,0)),0))</f>
        <v>0</v>
      </c>
      <c r="S417" s="9" t="str">
        <f aca="false">IF(N(K417)&gt;0,IF(H417="",99999,MIN(H417,IF(ISNUMBER(M417),M417,H417)))+ROW()/100000,"")</f>
        <v/>
      </c>
      <c r="U417" s="9" t="n">
        <f aca="false">IF(N(K417)&gt;0,N(L417),0)</f>
        <v>0</v>
      </c>
      <c r="V417" s="9" t="n">
        <f aca="false">IF(AND(N(K417)&gt;0,ISNUMBER(M417)),M417-Setup!$C$11,99999)</f>
        <v>99999</v>
      </c>
    </row>
    <row r="418" customFormat="false" ht="15" hidden="false" customHeight="false" outlineLevel="0" collapsed="false">
      <c r="A418" s="40" t="str">
        <f aca="false">IF(D418="","",ROW()-7)</f>
        <v/>
      </c>
      <c r="B418" s="79"/>
      <c r="C418" s="75"/>
      <c r="D418" s="76"/>
      <c r="E418" s="80"/>
      <c r="F418" s="79"/>
      <c r="G418" s="76"/>
      <c r="H418" s="54" t="str">
        <f aca="false">IF(OR(D418="",B418=""),"",IF(F418&lt;&gt;"",F418,B418+IFERROR(INDEX(Suppliers!$Q$7:$Q$106,MATCH(D418,Suppliers!$B$7:$B$106,0)),Setup!$C$7)))</f>
        <v/>
      </c>
      <c r="I418" s="46" t="str">
        <f aca="false">IF(OR(D418="",C418=""),IF(D418="","",0),SUMIFS(Payments!$D$8:$D$507,Payments!$C$8:$C$507,D418,Payments!$F$8:$F$507,C418))</f>
        <v/>
      </c>
      <c r="J418" s="46" t="str">
        <f aca="false">IF(D418="","",MIN(P418,MAX(0,R418-Q418)))</f>
        <v/>
      </c>
      <c r="K418" s="47" t="str">
        <f aca="false">IF(D418="","",P418-J418)</f>
        <v/>
      </c>
      <c r="L418" s="55" t="str">
        <f aca="false">IF(OR(D418="",N(K418)&lt;=0,H418=""),"",MAX(0,Setup!$C$11-H418))</f>
        <v/>
      </c>
      <c r="M418" s="54" t="str">
        <f aca="false">IF(OR(D418="",B418=""),"",IF(IFERROR(INDEX(Suppliers!$S$7:$S$106,MATCH(D418,Suppliers!$B$7:$B$106,0)),"")="","–",B418+IFERROR(INDEX(Suppliers!$S$7:$S$106,MATCH(D418,Suppliers!$B$7:$B$106,0)),"")))</f>
        <v/>
      </c>
      <c r="N418" s="56" t="str">
        <f aca="false">IF(D418="","",IF(N(K418)&lt;=0,"Paid",IF(AND(ISNUMBER(M418),Setup!$C$11&gt;M418),"⚠ MSME late",IF(N(L418)&gt;0,"Overdue",IF(N(V418)&lt;=Setup!$C$9,"⚠ MSME due soon",IF(K418&lt;E418,"Part paid","Not due"))))))</f>
        <v/>
      </c>
      <c r="O418" s="50" t="str">
        <f aca="false">IF(AND(D418="",B418="",C418="",E418=""),"",IF(D418="","⚠ Pick supplier",IF(ISNA(MATCH(D418,Suppliers!$B$7:$B$106,0)),"⚠ Supplier not in list",IF(B418="","⚠ Enter bill date",IF(N(E418)&lt;=0,"⚠ Enter amount",IF(AND(C418&lt;&gt;"",COUNTIFS($D$8:$D$507,D418,$C$8:$C$507,C418)&gt;1),"⚠ Bill no. used twice",IF(N(I418)&gt;N(E418),"⚠ Paid more than bill","✔")))))))</f>
        <v/>
      </c>
      <c r="P418" s="9" t="n">
        <f aca="false">IF(D418="",0,MAX(0,N(E418)-N(I418)))</f>
        <v>0</v>
      </c>
      <c r="Q418" s="9" t="n">
        <f aca="false">IF(D418="",0,SUMIFS($P$8:$P$507,$D$8:$D$507,D418,$B$8:$B$507,"&lt;"&amp;B418)+SUMIFS($P$8:P417,$D$8:D417,D418,$B$8:B417,B418))</f>
        <v>0</v>
      </c>
      <c r="R418" s="9" t="n">
        <f aca="false">IF(D418="",0,IFERROR(INDEX(Suppliers!$R$7:$R$106,MATCH(D418,Suppliers!$B$7:$B$106,0)),0))</f>
        <v>0</v>
      </c>
      <c r="S418" s="9" t="str">
        <f aca="false">IF(N(K418)&gt;0,IF(H418="",99999,MIN(H418,IF(ISNUMBER(M418),M418,H418)))+ROW()/100000,"")</f>
        <v/>
      </c>
      <c r="U418" s="9" t="n">
        <f aca="false">IF(N(K418)&gt;0,N(L418),0)</f>
        <v>0</v>
      </c>
      <c r="V418" s="9" t="n">
        <f aca="false">IF(AND(N(K418)&gt;0,ISNUMBER(M418)),M418-Setup!$C$11,99999)</f>
        <v>99999</v>
      </c>
    </row>
    <row r="419" customFormat="false" ht="15" hidden="false" customHeight="false" outlineLevel="0" collapsed="false">
      <c r="A419" s="40" t="str">
        <f aca="false">IF(D419="","",ROW()-7)</f>
        <v/>
      </c>
      <c r="B419" s="79"/>
      <c r="C419" s="75"/>
      <c r="D419" s="76"/>
      <c r="E419" s="80"/>
      <c r="F419" s="79"/>
      <c r="G419" s="76"/>
      <c r="H419" s="54" t="str">
        <f aca="false">IF(OR(D419="",B419=""),"",IF(F419&lt;&gt;"",F419,B419+IFERROR(INDEX(Suppliers!$Q$7:$Q$106,MATCH(D419,Suppliers!$B$7:$B$106,0)),Setup!$C$7)))</f>
        <v/>
      </c>
      <c r="I419" s="46" t="str">
        <f aca="false">IF(OR(D419="",C419=""),IF(D419="","",0),SUMIFS(Payments!$D$8:$D$507,Payments!$C$8:$C$507,D419,Payments!$F$8:$F$507,C419))</f>
        <v/>
      </c>
      <c r="J419" s="46" t="str">
        <f aca="false">IF(D419="","",MIN(P419,MAX(0,R419-Q419)))</f>
        <v/>
      </c>
      <c r="K419" s="47" t="str">
        <f aca="false">IF(D419="","",P419-J419)</f>
        <v/>
      </c>
      <c r="L419" s="55" t="str">
        <f aca="false">IF(OR(D419="",N(K419)&lt;=0,H419=""),"",MAX(0,Setup!$C$11-H419))</f>
        <v/>
      </c>
      <c r="M419" s="54" t="str">
        <f aca="false">IF(OR(D419="",B419=""),"",IF(IFERROR(INDEX(Suppliers!$S$7:$S$106,MATCH(D419,Suppliers!$B$7:$B$106,0)),"")="","–",B419+IFERROR(INDEX(Suppliers!$S$7:$S$106,MATCH(D419,Suppliers!$B$7:$B$106,0)),"")))</f>
        <v/>
      </c>
      <c r="N419" s="56" t="str">
        <f aca="false">IF(D419="","",IF(N(K419)&lt;=0,"Paid",IF(AND(ISNUMBER(M419),Setup!$C$11&gt;M419),"⚠ MSME late",IF(N(L419)&gt;0,"Overdue",IF(N(V419)&lt;=Setup!$C$9,"⚠ MSME due soon",IF(K419&lt;E419,"Part paid","Not due"))))))</f>
        <v/>
      </c>
      <c r="O419" s="50" t="str">
        <f aca="false">IF(AND(D419="",B419="",C419="",E419=""),"",IF(D419="","⚠ Pick supplier",IF(ISNA(MATCH(D419,Suppliers!$B$7:$B$106,0)),"⚠ Supplier not in list",IF(B419="","⚠ Enter bill date",IF(N(E419)&lt;=0,"⚠ Enter amount",IF(AND(C419&lt;&gt;"",COUNTIFS($D$8:$D$507,D419,$C$8:$C$507,C419)&gt;1),"⚠ Bill no. used twice",IF(N(I419)&gt;N(E419),"⚠ Paid more than bill","✔")))))))</f>
        <v/>
      </c>
      <c r="P419" s="9" t="n">
        <f aca="false">IF(D419="",0,MAX(0,N(E419)-N(I419)))</f>
        <v>0</v>
      </c>
      <c r="Q419" s="9" t="n">
        <f aca="false">IF(D419="",0,SUMIFS($P$8:$P$507,$D$8:$D$507,D419,$B$8:$B$507,"&lt;"&amp;B419)+SUMIFS($P$8:P418,$D$8:D418,D419,$B$8:B418,B419))</f>
        <v>0</v>
      </c>
      <c r="R419" s="9" t="n">
        <f aca="false">IF(D419="",0,IFERROR(INDEX(Suppliers!$R$7:$R$106,MATCH(D419,Suppliers!$B$7:$B$106,0)),0))</f>
        <v>0</v>
      </c>
      <c r="S419" s="9" t="str">
        <f aca="false">IF(N(K419)&gt;0,IF(H419="",99999,MIN(H419,IF(ISNUMBER(M419),M419,H419)))+ROW()/100000,"")</f>
        <v/>
      </c>
      <c r="U419" s="9" t="n">
        <f aca="false">IF(N(K419)&gt;0,N(L419),0)</f>
        <v>0</v>
      </c>
      <c r="V419" s="9" t="n">
        <f aca="false">IF(AND(N(K419)&gt;0,ISNUMBER(M419)),M419-Setup!$C$11,99999)</f>
        <v>99999</v>
      </c>
    </row>
    <row r="420" customFormat="false" ht="15" hidden="false" customHeight="false" outlineLevel="0" collapsed="false">
      <c r="A420" s="40" t="str">
        <f aca="false">IF(D420="","",ROW()-7)</f>
        <v/>
      </c>
      <c r="B420" s="79"/>
      <c r="C420" s="75"/>
      <c r="D420" s="76"/>
      <c r="E420" s="80"/>
      <c r="F420" s="79"/>
      <c r="G420" s="76"/>
      <c r="H420" s="54" t="str">
        <f aca="false">IF(OR(D420="",B420=""),"",IF(F420&lt;&gt;"",F420,B420+IFERROR(INDEX(Suppliers!$Q$7:$Q$106,MATCH(D420,Suppliers!$B$7:$B$106,0)),Setup!$C$7)))</f>
        <v/>
      </c>
      <c r="I420" s="46" t="str">
        <f aca="false">IF(OR(D420="",C420=""),IF(D420="","",0),SUMIFS(Payments!$D$8:$D$507,Payments!$C$8:$C$507,D420,Payments!$F$8:$F$507,C420))</f>
        <v/>
      </c>
      <c r="J420" s="46" t="str">
        <f aca="false">IF(D420="","",MIN(P420,MAX(0,R420-Q420)))</f>
        <v/>
      </c>
      <c r="K420" s="47" t="str">
        <f aca="false">IF(D420="","",P420-J420)</f>
        <v/>
      </c>
      <c r="L420" s="55" t="str">
        <f aca="false">IF(OR(D420="",N(K420)&lt;=0,H420=""),"",MAX(0,Setup!$C$11-H420))</f>
        <v/>
      </c>
      <c r="M420" s="54" t="str">
        <f aca="false">IF(OR(D420="",B420=""),"",IF(IFERROR(INDEX(Suppliers!$S$7:$S$106,MATCH(D420,Suppliers!$B$7:$B$106,0)),"")="","–",B420+IFERROR(INDEX(Suppliers!$S$7:$S$106,MATCH(D420,Suppliers!$B$7:$B$106,0)),"")))</f>
        <v/>
      </c>
      <c r="N420" s="56" t="str">
        <f aca="false">IF(D420="","",IF(N(K420)&lt;=0,"Paid",IF(AND(ISNUMBER(M420),Setup!$C$11&gt;M420),"⚠ MSME late",IF(N(L420)&gt;0,"Overdue",IF(N(V420)&lt;=Setup!$C$9,"⚠ MSME due soon",IF(K420&lt;E420,"Part paid","Not due"))))))</f>
        <v/>
      </c>
      <c r="O420" s="50" t="str">
        <f aca="false">IF(AND(D420="",B420="",C420="",E420=""),"",IF(D420="","⚠ Pick supplier",IF(ISNA(MATCH(D420,Suppliers!$B$7:$B$106,0)),"⚠ Supplier not in list",IF(B420="","⚠ Enter bill date",IF(N(E420)&lt;=0,"⚠ Enter amount",IF(AND(C420&lt;&gt;"",COUNTIFS($D$8:$D$507,D420,$C$8:$C$507,C420)&gt;1),"⚠ Bill no. used twice",IF(N(I420)&gt;N(E420),"⚠ Paid more than bill","✔")))))))</f>
        <v/>
      </c>
      <c r="P420" s="9" t="n">
        <f aca="false">IF(D420="",0,MAX(0,N(E420)-N(I420)))</f>
        <v>0</v>
      </c>
      <c r="Q420" s="9" t="n">
        <f aca="false">IF(D420="",0,SUMIFS($P$8:$P$507,$D$8:$D$507,D420,$B$8:$B$507,"&lt;"&amp;B420)+SUMIFS($P$8:P419,$D$8:D419,D420,$B$8:B419,B420))</f>
        <v>0</v>
      </c>
      <c r="R420" s="9" t="n">
        <f aca="false">IF(D420="",0,IFERROR(INDEX(Suppliers!$R$7:$R$106,MATCH(D420,Suppliers!$B$7:$B$106,0)),0))</f>
        <v>0</v>
      </c>
      <c r="S420" s="9" t="str">
        <f aca="false">IF(N(K420)&gt;0,IF(H420="",99999,MIN(H420,IF(ISNUMBER(M420),M420,H420)))+ROW()/100000,"")</f>
        <v/>
      </c>
      <c r="U420" s="9" t="n">
        <f aca="false">IF(N(K420)&gt;0,N(L420),0)</f>
        <v>0</v>
      </c>
      <c r="V420" s="9" t="n">
        <f aca="false">IF(AND(N(K420)&gt;0,ISNUMBER(M420)),M420-Setup!$C$11,99999)</f>
        <v>99999</v>
      </c>
    </row>
    <row r="421" customFormat="false" ht="15" hidden="false" customHeight="false" outlineLevel="0" collapsed="false">
      <c r="A421" s="40" t="str">
        <f aca="false">IF(D421="","",ROW()-7)</f>
        <v/>
      </c>
      <c r="B421" s="79"/>
      <c r="C421" s="75"/>
      <c r="D421" s="76"/>
      <c r="E421" s="80"/>
      <c r="F421" s="79"/>
      <c r="G421" s="76"/>
      <c r="H421" s="54" t="str">
        <f aca="false">IF(OR(D421="",B421=""),"",IF(F421&lt;&gt;"",F421,B421+IFERROR(INDEX(Suppliers!$Q$7:$Q$106,MATCH(D421,Suppliers!$B$7:$B$106,0)),Setup!$C$7)))</f>
        <v/>
      </c>
      <c r="I421" s="46" t="str">
        <f aca="false">IF(OR(D421="",C421=""),IF(D421="","",0),SUMIFS(Payments!$D$8:$D$507,Payments!$C$8:$C$507,D421,Payments!$F$8:$F$507,C421))</f>
        <v/>
      </c>
      <c r="J421" s="46" t="str">
        <f aca="false">IF(D421="","",MIN(P421,MAX(0,R421-Q421)))</f>
        <v/>
      </c>
      <c r="K421" s="47" t="str">
        <f aca="false">IF(D421="","",P421-J421)</f>
        <v/>
      </c>
      <c r="L421" s="55" t="str">
        <f aca="false">IF(OR(D421="",N(K421)&lt;=0,H421=""),"",MAX(0,Setup!$C$11-H421))</f>
        <v/>
      </c>
      <c r="M421" s="54" t="str">
        <f aca="false">IF(OR(D421="",B421=""),"",IF(IFERROR(INDEX(Suppliers!$S$7:$S$106,MATCH(D421,Suppliers!$B$7:$B$106,0)),"")="","–",B421+IFERROR(INDEX(Suppliers!$S$7:$S$106,MATCH(D421,Suppliers!$B$7:$B$106,0)),"")))</f>
        <v/>
      </c>
      <c r="N421" s="56" t="str">
        <f aca="false">IF(D421="","",IF(N(K421)&lt;=0,"Paid",IF(AND(ISNUMBER(M421),Setup!$C$11&gt;M421),"⚠ MSME late",IF(N(L421)&gt;0,"Overdue",IF(N(V421)&lt;=Setup!$C$9,"⚠ MSME due soon",IF(K421&lt;E421,"Part paid","Not due"))))))</f>
        <v/>
      </c>
      <c r="O421" s="50" t="str">
        <f aca="false">IF(AND(D421="",B421="",C421="",E421=""),"",IF(D421="","⚠ Pick supplier",IF(ISNA(MATCH(D421,Suppliers!$B$7:$B$106,0)),"⚠ Supplier not in list",IF(B421="","⚠ Enter bill date",IF(N(E421)&lt;=0,"⚠ Enter amount",IF(AND(C421&lt;&gt;"",COUNTIFS($D$8:$D$507,D421,$C$8:$C$507,C421)&gt;1),"⚠ Bill no. used twice",IF(N(I421)&gt;N(E421),"⚠ Paid more than bill","✔")))))))</f>
        <v/>
      </c>
      <c r="P421" s="9" t="n">
        <f aca="false">IF(D421="",0,MAX(0,N(E421)-N(I421)))</f>
        <v>0</v>
      </c>
      <c r="Q421" s="9" t="n">
        <f aca="false">IF(D421="",0,SUMIFS($P$8:$P$507,$D$8:$D$507,D421,$B$8:$B$507,"&lt;"&amp;B421)+SUMIFS($P$8:P420,$D$8:D420,D421,$B$8:B420,B421))</f>
        <v>0</v>
      </c>
      <c r="R421" s="9" t="n">
        <f aca="false">IF(D421="",0,IFERROR(INDEX(Suppliers!$R$7:$R$106,MATCH(D421,Suppliers!$B$7:$B$106,0)),0))</f>
        <v>0</v>
      </c>
      <c r="S421" s="9" t="str">
        <f aca="false">IF(N(K421)&gt;0,IF(H421="",99999,MIN(H421,IF(ISNUMBER(M421),M421,H421)))+ROW()/100000,"")</f>
        <v/>
      </c>
      <c r="U421" s="9" t="n">
        <f aca="false">IF(N(K421)&gt;0,N(L421),0)</f>
        <v>0</v>
      </c>
      <c r="V421" s="9" t="n">
        <f aca="false">IF(AND(N(K421)&gt;0,ISNUMBER(M421)),M421-Setup!$C$11,99999)</f>
        <v>99999</v>
      </c>
    </row>
    <row r="422" customFormat="false" ht="15" hidden="false" customHeight="false" outlineLevel="0" collapsed="false">
      <c r="A422" s="40" t="str">
        <f aca="false">IF(D422="","",ROW()-7)</f>
        <v/>
      </c>
      <c r="B422" s="79"/>
      <c r="C422" s="75"/>
      <c r="D422" s="76"/>
      <c r="E422" s="80"/>
      <c r="F422" s="79"/>
      <c r="G422" s="76"/>
      <c r="H422" s="54" t="str">
        <f aca="false">IF(OR(D422="",B422=""),"",IF(F422&lt;&gt;"",F422,B422+IFERROR(INDEX(Suppliers!$Q$7:$Q$106,MATCH(D422,Suppliers!$B$7:$B$106,0)),Setup!$C$7)))</f>
        <v/>
      </c>
      <c r="I422" s="46" t="str">
        <f aca="false">IF(OR(D422="",C422=""),IF(D422="","",0),SUMIFS(Payments!$D$8:$D$507,Payments!$C$8:$C$507,D422,Payments!$F$8:$F$507,C422))</f>
        <v/>
      </c>
      <c r="J422" s="46" t="str">
        <f aca="false">IF(D422="","",MIN(P422,MAX(0,R422-Q422)))</f>
        <v/>
      </c>
      <c r="K422" s="47" t="str">
        <f aca="false">IF(D422="","",P422-J422)</f>
        <v/>
      </c>
      <c r="L422" s="55" t="str">
        <f aca="false">IF(OR(D422="",N(K422)&lt;=0,H422=""),"",MAX(0,Setup!$C$11-H422))</f>
        <v/>
      </c>
      <c r="M422" s="54" t="str">
        <f aca="false">IF(OR(D422="",B422=""),"",IF(IFERROR(INDEX(Suppliers!$S$7:$S$106,MATCH(D422,Suppliers!$B$7:$B$106,0)),"")="","–",B422+IFERROR(INDEX(Suppliers!$S$7:$S$106,MATCH(D422,Suppliers!$B$7:$B$106,0)),"")))</f>
        <v/>
      </c>
      <c r="N422" s="56" t="str">
        <f aca="false">IF(D422="","",IF(N(K422)&lt;=0,"Paid",IF(AND(ISNUMBER(M422),Setup!$C$11&gt;M422),"⚠ MSME late",IF(N(L422)&gt;0,"Overdue",IF(N(V422)&lt;=Setup!$C$9,"⚠ MSME due soon",IF(K422&lt;E422,"Part paid","Not due"))))))</f>
        <v/>
      </c>
      <c r="O422" s="50" t="str">
        <f aca="false">IF(AND(D422="",B422="",C422="",E422=""),"",IF(D422="","⚠ Pick supplier",IF(ISNA(MATCH(D422,Suppliers!$B$7:$B$106,0)),"⚠ Supplier not in list",IF(B422="","⚠ Enter bill date",IF(N(E422)&lt;=0,"⚠ Enter amount",IF(AND(C422&lt;&gt;"",COUNTIFS($D$8:$D$507,D422,$C$8:$C$507,C422)&gt;1),"⚠ Bill no. used twice",IF(N(I422)&gt;N(E422),"⚠ Paid more than bill","✔")))))))</f>
        <v/>
      </c>
      <c r="P422" s="9" t="n">
        <f aca="false">IF(D422="",0,MAX(0,N(E422)-N(I422)))</f>
        <v>0</v>
      </c>
      <c r="Q422" s="9" t="n">
        <f aca="false">IF(D422="",0,SUMIFS($P$8:$P$507,$D$8:$D$507,D422,$B$8:$B$507,"&lt;"&amp;B422)+SUMIFS($P$8:P421,$D$8:D421,D422,$B$8:B421,B422))</f>
        <v>0</v>
      </c>
      <c r="R422" s="9" t="n">
        <f aca="false">IF(D422="",0,IFERROR(INDEX(Suppliers!$R$7:$R$106,MATCH(D422,Suppliers!$B$7:$B$106,0)),0))</f>
        <v>0</v>
      </c>
      <c r="S422" s="9" t="str">
        <f aca="false">IF(N(K422)&gt;0,IF(H422="",99999,MIN(H422,IF(ISNUMBER(M422),M422,H422)))+ROW()/100000,"")</f>
        <v/>
      </c>
      <c r="U422" s="9" t="n">
        <f aca="false">IF(N(K422)&gt;0,N(L422),0)</f>
        <v>0</v>
      </c>
      <c r="V422" s="9" t="n">
        <f aca="false">IF(AND(N(K422)&gt;0,ISNUMBER(M422)),M422-Setup!$C$11,99999)</f>
        <v>99999</v>
      </c>
    </row>
    <row r="423" customFormat="false" ht="15" hidden="false" customHeight="false" outlineLevel="0" collapsed="false">
      <c r="A423" s="40" t="str">
        <f aca="false">IF(D423="","",ROW()-7)</f>
        <v/>
      </c>
      <c r="B423" s="79"/>
      <c r="C423" s="75"/>
      <c r="D423" s="76"/>
      <c r="E423" s="80"/>
      <c r="F423" s="79"/>
      <c r="G423" s="76"/>
      <c r="H423" s="54" t="str">
        <f aca="false">IF(OR(D423="",B423=""),"",IF(F423&lt;&gt;"",F423,B423+IFERROR(INDEX(Suppliers!$Q$7:$Q$106,MATCH(D423,Suppliers!$B$7:$B$106,0)),Setup!$C$7)))</f>
        <v/>
      </c>
      <c r="I423" s="46" t="str">
        <f aca="false">IF(OR(D423="",C423=""),IF(D423="","",0),SUMIFS(Payments!$D$8:$D$507,Payments!$C$8:$C$507,D423,Payments!$F$8:$F$507,C423))</f>
        <v/>
      </c>
      <c r="J423" s="46" t="str">
        <f aca="false">IF(D423="","",MIN(P423,MAX(0,R423-Q423)))</f>
        <v/>
      </c>
      <c r="K423" s="47" t="str">
        <f aca="false">IF(D423="","",P423-J423)</f>
        <v/>
      </c>
      <c r="L423" s="55" t="str">
        <f aca="false">IF(OR(D423="",N(K423)&lt;=0,H423=""),"",MAX(0,Setup!$C$11-H423))</f>
        <v/>
      </c>
      <c r="M423" s="54" t="str">
        <f aca="false">IF(OR(D423="",B423=""),"",IF(IFERROR(INDEX(Suppliers!$S$7:$S$106,MATCH(D423,Suppliers!$B$7:$B$106,0)),"")="","–",B423+IFERROR(INDEX(Suppliers!$S$7:$S$106,MATCH(D423,Suppliers!$B$7:$B$106,0)),"")))</f>
        <v/>
      </c>
      <c r="N423" s="56" t="str">
        <f aca="false">IF(D423="","",IF(N(K423)&lt;=0,"Paid",IF(AND(ISNUMBER(M423),Setup!$C$11&gt;M423),"⚠ MSME late",IF(N(L423)&gt;0,"Overdue",IF(N(V423)&lt;=Setup!$C$9,"⚠ MSME due soon",IF(K423&lt;E423,"Part paid","Not due"))))))</f>
        <v/>
      </c>
      <c r="O423" s="50" t="str">
        <f aca="false">IF(AND(D423="",B423="",C423="",E423=""),"",IF(D423="","⚠ Pick supplier",IF(ISNA(MATCH(D423,Suppliers!$B$7:$B$106,0)),"⚠ Supplier not in list",IF(B423="","⚠ Enter bill date",IF(N(E423)&lt;=0,"⚠ Enter amount",IF(AND(C423&lt;&gt;"",COUNTIFS($D$8:$D$507,D423,$C$8:$C$507,C423)&gt;1),"⚠ Bill no. used twice",IF(N(I423)&gt;N(E423),"⚠ Paid more than bill","✔")))))))</f>
        <v/>
      </c>
      <c r="P423" s="9" t="n">
        <f aca="false">IF(D423="",0,MAX(0,N(E423)-N(I423)))</f>
        <v>0</v>
      </c>
      <c r="Q423" s="9" t="n">
        <f aca="false">IF(D423="",0,SUMIFS($P$8:$P$507,$D$8:$D$507,D423,$B$8:$B$507,"&lt;"&amp;B423)+SUMIFS($P$8:P422,$D$8:D422,D423,$B$8:B422,B423))</f>
        <v>0</v>
      </c>
      <c r="R423" s="9" t="n">
        <f aca="false">IF(D423="",0,IFERROR(INDEX(Suppliers!$R$7:$R$106,MATCH(D423,Suppliers!$B$7:$B$106,0)),0))</f>
        <v>0</v>
      </c>
      <c r="S423" s="9" t="str">
        <f aca="false">IF(N(K423)&gt;0,IF(H423="",99999,MIN(H423,IF(ISNUMBER(M423),M423,H423)))+ROW()/100000,"")</f>
        <v/>
      </c>
      <c r="U423" s="9" t="n">
        <f aca="false">IF(N(K423)&gt;0,N(L423),0)</f>
        <v>0</v>
      </c>
      <c r="V423" s="9" t="n">
        <f aca="false">IF(AND(N(K423)&gt;0,ISNUMBER(M423)),M423-Setup!$C$11,99999)</f>
        <v>99999</v>
      </c>
    </row>
    <row r="424" customFormat="false" ht="15" hidden="false" customHeight="false" outlineLevel="0" collapsed="false">
      <c r="A424" s="40" t="str">
        <f aca="false">IF(D424="","",ROW()-7)</f>
        <v/>
      </c>
      <c r="B424" s="79"/>
      <c r="C424" s="75"/>
      <c r="D424" s="76"/>
      <c r="E424" s="80"/>
      <c r="F424" s="79"/>
      <c r="G424" s="76"/>
      <c r="H424" s="54" t="str">
        <f aca="false">IF(OR(D424="",B424=""),"",IF(F424&lt;&gt;"",F424,B424+IFERROR(INDEX(Suppliers!$Q$7:$Q$106,MATCH(D424,Suppliers!$B$7:$B$106,0)),Setup!$C$7)))</f>
        <v/>
      </c>
      <c r="I424" s="46" t="str">
        <f aca="false">IF(OR(D424="",C424=""),IF(D424="","",0),SUMIFS(Payments!$D$8:$D$507,Payments!$C$8:$C$507,D424,Payments!$F$8:$F$507,C424))</f>
        <v/>
      </c>
      <c r="J424" s="46" t="str">
        <f aca="false">IF(D424="","",MIN(P424,MAX(0,R424-Q424)))</f>
        <v/>
      </c>
      <c r="K424" s="47" t="str">
        <f aca="false">IF(D424="","",P424-J424)</f>
        <v/>
      </c>
      <c r="L424" s="55" t="str">
        <f aca="false">IF(OR(D424="",N(K424)&lt;=0,H424=""),"",MAX(0,Setup!$C$11-H424))</f>
        <v/>
      </c>
      <c r="M424" s="54" t="str">
        <f aca="false">IF(OR(D424="",B424=""),"",IF(IFERROR(INDEX(Suppliers!$S$7:$S$106,MATCH(D424,Suppliers!$B$7:$B$106,0)),"")="","–",B424+IFERROR(INDEX(Suppliers!$S$7:$S$106,MATCH(D424,Suppliers!$B$7:$B$106,0)),"")))</f>
        <v/>
      </c>
      <c r="N424" s="56" t="str">
        <f aca="false">IF(D424="","",IF(N(K424)&lt;=0,"Paid",IF(AND(ISNUMBER(M424),Setup!$C$11&gt;M424),"⚠ MSME late",IF(N(L424)&gt;0,"Overdue",IF(N(V424)&lt;=Setup!$C$9,"⚠ MSME due soon",IF(K424&lt;E424,"Part paid","Not due"))))))</f>
        <v/>
      </c>
      <c r="O424" s="50" t="str">
        <f aca="false">IF(AND(D424="",B424="",C424="",E424=""),"",IF(D424="","⚠ Pick supplier",IF(ISNA(MATCH(D424,Suppliers!$B$7:$B$106,0)),"⚠ Supplier not in list",IF(B424="","⚠ Enter bill date",IF(N(E424)&lt;=0,"⚠ Enter amount",IF(AND(C424&lt;&gt;"",COUNTIFS($D$8:$D$507,D424,$C$8:$C$507,C424)&gt;1),"⚠ Bill no. used twice",IF(N(I424)&gt;N(E424),"⚠ Paid more than bill","✔")))))))</f>
        <v/>
      </c>
      <c r="P424" s="9" t="n">
        <f aca="false">IF(D424="",0,MAX(0,N(E424)-N(I424)))</f>
        <v>0</v>
      </c>
      <c r="Q424" s="9" t="n">
        <f aca="false">IF(D424="",0,SUMIFS($P$8:$P$507,$D$8:$D$507,D424,$B$8:$B$507,"&lt;"&amp;B424)+SUMIFS($P$8:P423,$D$8:D423,D424,$B$8:B423,B424))</f>
        <v>0</v>
      </c>
      <c r="R424" s="9" t="n">
        <f aca="false">IF(D424="",0,IFERROR(INDEX(Suppliers!$R$7:$R$106,MATCH(D424,Suppliers!$B$7:$B$106,0)),0))</f>
        <v>0</v>
      </c>
      <c r="S424" s="9" t="str">
        <f aca="false">IF(N(K424)&gt;0,IF(H424="",99999,MIN(H424,IF(ISNUMBER(M424),M424,H424)))+ROW()/100000,"")</f>
        <v/>
      </c>
      <c r="U424" s="9" t="n">
        <f aca="false">IF(N(K424)&gt;0,N(L424),0)</f>
        <v>0</v>
      </c>
      <c r="V424" s="9" t="n">
        <f aca="false">IF(AND(N(K424)&gt;0,ISNUMBER(M424)),M424-Setup!$C$11,99999)</f>
        <v>99999</v>
      </c>
    </row>
    <row r="425" customFormat="false" ht="15" hidden="false" customHeight="false" outlineLevel="0" collapsed="false">
      <c r="A425" s="40" t="str">
        <f aca="false">IF(D425="","",ROW()-7)</f>
        <v/>
      </c>
      <c r="B425" s="79"/>
      <c r="C425" s="75"/>
      <c r="D425" s="76"/>
      <c r="E425" s="80"/>
      <c r="F425" s="79"/>
      <c r="G425" s="76"/>
      <c r="H425" s="54" t="str">
        <f aca="false">IF(OR(D425="",B425=""),"",IF(F425&lt;&gt;"",F425,B425+IFERROR(INDEX(Suppliers!$Q$7:$Q$106,MATCH(D425,Suppliers!$B$7:$B$106,0)),Setup!$C$7)))</f>
        <v/>
      </c>
      <c r="I425" s="46" t="str">
        <f aca="false">IF(OR(D425="",C425=""),IF(D425="","",0),SUMIFS(Payments!$D$8:$D$507,Payments!$C$8:$C$507,D425,Payments!$F$8:$F$507,C425))</f>
        <v/>
      </c>
      <c r="J425" s="46" t="str">
        <f aca="false">IF(D425="","",MIN(P425,MAX(0,R425-Q425)))</f>
        <v/>
      </c>
      <c r="K425" s="47" t="str">
        <f aca="false">IF(D425="","",P425-J425)</f>
        <v/>
      </c>
      <c r="L425" s="55" t="str">
        <f aca="false">IF(OR(D425="",N(K425)&lt;=0,H425=""),"",MAX(0,Setup!$C$11-H425))</f>
        <v/>
      </c>
      <c r="M425" s="54" t="str">
        <f aca="false">IF(OR(D425="",B425=""),"",IF(IFERROR(INDEX(Suppliers!$S$7:$S$106,MATCH(D425,Suppliers!$B$7:$B$106,0)),"")="","–",B425+IFERROR(INDEX(Suppliers!$S$7:$S$106,MATCH(D425,Suppliers!$B$7:$B$106,0)),"")))</f>
        <v/>
      </c>
      <c r="N425" s="56" t="str">
        <f aca="false">IF(D425="","",IF(N(K425)&lt;=0,"Paid",IF(AND(ISNUMBER(M425),Setup!$C$11&gt;M425),"⚠ MSME late",IF(N(L425)&gt;0,"Overdue",IF(N(V425)&lt;=Setup!$C$9,"⚠ MSME due soon",IF(K425&lt;E425,"Part paid","Not due"))))))</f>
        <v/>
      </c>
      <c r="O425" s="50" t="str">
        <f aca="false">IF(AND(D425="",B425="",C425="",E425=""),"",IF(D425="","⚠ Pick supplier",IF(ISNA(MATCH(D425,Suppliers!$B$7:$B$106,0)),"⚠ Supplier not in list",IF(B425="","⚠ Enter bill date",IF(N(E425)&lt;=0,"⚠ Enter amount",IF(AND(C425&lt;&gt;"",COUNTIFS($D$8:$D$507,D425,$C$8:$C$507,C425)&gt;1),"⚠ Bill no. used twice",IF(N(I425)&gt;N(E425),"⚠ Paid more than bill","✔")))))))</f>
        <v/>
      </c>
      <c r="P425" s="9" t="n">
        <f aca="false">IF(D425="",0,MAX(0,N(E425)-N(I425)))</f>
        <v>0</v>
      </c>
      <c r="Q425" s="9" t="n">
        <f aca="false">IF(D425="",0,SUMIFS($P$8:$P$507,$D$8:$D$507,D425,$B$8:$B$507,"&lt;"&amp;B425)+SUMIFS($P$8:P424,$D$8:D424,D425,$B$8:B424,B425))</f>
        <v>0</v>
      </c>
      <c r="R425" s="9" t="n">
        <f aca="false">IF(D425="",0,IFERROR(INDEX(Suppliers!$R$7:$R$106,MATCH(D425,Suppliers!$B$7:$B$106,0)),0))</f>
        <v>0</v>
      </c>
      <c r="S425" s="9" t="str">
        <f aca="false">IF(N(K425)&gt;0,IF(H425="",99999,MIN(H425,IF(ISNUMBER(M425),M425,H425)))+ROW()/100000,"")</f>
        <v/>
      </c>
      <c r="U425" s="9" t="n">
        <f aca="false">IF(N(K425)&gt;0,N(L425),0)</f>
        <v>0</v>
      </c>
      <c r="V425" s="9" t="n">
        <f aca="false">IF(AND(N(K425)&gt;0,ISNUMBER(M425)),M425-Setup!$C$11,99999)</f>
        <v>99999</v>
      </c>
    </row>
    <row r="426" customFormat="false" ht="15" hidden="false" customHeight="false" outlineLevel="0" collapsed="false">
      <c r="A426" s="40" t="str">
        <f aca="false">IF(D426="","",ROW()-7)</f>
        <v/>
      </c>
      <c r="B426" s="79"/>
      <c r="C426" s="75"/>
      <c r="D426" s="76"/>
      <c r="E426" s="80"/>
      <c r="F426" s="79"/>
      <c r="G426" s="76"/>
      <c r="H426" s="54" t="str">
        <f aca="false">IF(OR(D426="",B426=""),"",IF(F426&lt;&gt;"",F426,B426+IFERROR(INDEX(Suppliers!$Q$7:$Q$106,MATCH(D426,Suppliers!$B$7:$B$106,0)),Setup!$C$7)))</f>
        <v/>
      </c>
      <c r="I426" s="46" t="str">
        <f aca="false">IF(OR(D426="",C426=""),IF(D426="","",0),SUMIFS(Payments!$D$8:$D$507,Payments!$C$8:$C$507,D426,Payments!$F$8:$F$507,C426))</f>
        <v/>
      </c>
      <c r="J426" s="46" t="str">
        <f aca="false">IF(D426="","",MIN(P426,MAX(0,R426-Q426)))</f>
        <v/>
      </c>
      <c r="K426" s="47" t="str">
        <f aca="false">IF(D426="","",P426-J426)</f>
        <v/>
      </c>
      <c r="L426" s="55" t="str">
        <f aca="false">IF(OR(D426="",N(K426)&lt;=0,H426=""),"",MAX(0,Setup!$C$11-H426))</f>
        <v/>
      </c>
      <c r="M426" s="54" t="str">
        <f aca="false">IF(OR(D426="",B426=""),"",IF(IFERROR(INDEX(Suppliers!$S$7:$S$106,MATCH(D426,Suppliers!$B$7:$B$106,0)),"")="","–",B426+IFERROR(INDEX(Suppliers!$S$7:$S$106,MATCH(D426,Suppliers!$B$7:$B$106,0)),"")))</f>
        <v/>
      </c>
      <c r="N426" s="56" t="str">
        <f aca="false">IF(D426="","",IF(N(K426)&lt;=0,"Paid",IF(AND(ISNUMBER(M426),Setup!$C$11&gt;M426),"⚠ MSME late",IF(N(L426)&gt;0,"Overdue",IF(N(V426)&lt;=Setup!$C$9,"⚠ MSME due soon",IF(K426&lt;E426,"Part paid","Not due"))))))</f>
        <v/>
      </c>
      <c r="O426" s="50" t="str">
        <f aca="false">IF(AND(D426="",B426="",C426="",E426=""),"",IF(D426="","⚠ Pick supplier",IF(ISNA(MATCH(D426,Suppliers!$B$7:$B$106,0)),"⚠ Supplier not in list",IF(B426="","⚠ Enter bill date",IF(N(E426)&lt;=0,"⚠ Enter amount",IF(AND(C426&lt;&gt;"",COUNTIFS($D$8:$D$507,D426,$C$8:$C$507,C426)&gt;1),"⚠ Bill no. used twice",IF(N(I426)&gt;N(E426),"⚠ Paid more than bill","✔")))))))</f>
        <v/>
      </c>
      <c r="P426" s="9" t="n">
        <f aca="false">IF(D426="",0,MAX(0,N(E426)-N(I426)))</f>
        <v>0</v>
      </c>
      <c r="Q426" s="9" t="n">
        <f aca="false">IF(D426="",0,SUMIFS($P$8:$P$507,$D$8:$D$507,D426,$B$8:$B$507,"&lt;"&amp;B426)+SUMIFS($P$8:P425,$D$8:D425,D426,$B$8:B425,B426))</f>
        <v>0</v>
      </c>
      <c r="R426" s="9" t="n">
        <f aca="false">IF(D426="",0,IFERROR(INDEX(Suppliers!$R$7:$R$106,MATCH(D426,Suppliers!$B$7:$B$106,0)),0))</f>
        <v>0</v>
      </c>
      <c r="S426" s="9" t="str">
        <f aca="false">IF(N(K426)&gt;0,IF(H426="",99999,MIN(H426,IF(ISNUMBER(M426),M426,H426)))+ROW()/100000,"")</f>
        <v/>
      </c>
      <c r="U426" s="9" t="n">
        <f aca="false">IF(N(K426)&gt;0,N(L426),0)</f>
        <v>0</v>
      </c>
      <c r="V426" s="9" t="n">
        <f aca="false">IF(AND(N(K426)&gt;0,ISNUMBER(M426)),M426-Setup!$C$11,99999)</f>
        <v>99999</v>
      </c>
    </row>
    <row r="427" customFormat="false" ht="15" hidden="false" customHeight="false" outlineLevel="0" collapsed="false">
      <c r="A427" s="40" t="str">
        <f aca="false">IF(D427="","",ROW()-7)</f>
        <v/>
      </c>
      <c r="B427" s="79"/>
      <c r="C427" s="75"/>
      <c r="D427" s="76"/>
      <c r="E427" s="80"/>
      <c r="F427" s="79"/>
      <c r="G427" s="76"/>
      <c r="H427" s="54" t="str">
        <f aca="false">IF(OR(D427="",B427=""),"",IF(F427&lt;&gt;"",F427,B427+IFERROR(INDEX(Suppliers!$Q$7:$Q$106,MATCH(D427,Suppliers!$B$7:$B$106,0)),Setup!$C$7)))</f>
        <v/>
      </c>
      <c r="I427" s="46" t="str">
        <f aca="false">IF(OR(D427="",C427=""),IF(D427="","",0),SUMIFS(Payments!$D$8:$D$507,Payments!$C$8:$C$507,D427,Payments!$F$8:$F$507,C427))</f>
        <v/>
      </c>
      <c r="J427" s="46" t="str">
        <f aca="false">IF(D427="","",MIN(P427,MAX(0,R427-Q427)))</f>
        <v/>
      </c>
      <c r="K427" s="47" t="str">
        <f aca="false">IF(D427="","",P427-J427)</f>
        <v/>
      </c>
      <c r="L427" s="55" t="str">
        <f aca="false">IF(OR(D427="",N(K427)&lt;=0,H427=""),"",MAX(0,Setup!$C$11-H427))</f>
        <v/>
      </c>
      <c r="M427" s="54" t="str">
        <f aca="false">IF(OR(D427="",B427=""),"",IF(IFERROR(INDEX(Suppliers!$S$7:$S$106,MATCH(D427,Suppliers!$B$7:$B$106,0)),"")="","–",B427+IFERROR(INDEX(Suppliers!$S$7:$S$106,MATCH(D427,Suppliers!$B$7:$B$106,0)),"")))</f>
        <v/>
      </c>
      <c r="N427" s="56" t="str">
        <f aca="false">IF(D427="","",IF(N(K427)&lt;=0,"Paid",IF(AND(ISNUMBER(M427),Setup!$C$11&gt;M427),"⚠ MSME late",IF(N(L427)&gt;0,"Overdue",IF(N(V427)&lt;=Setup!$C$9,"⚠ MSME due soon",IF(K427&lt;E427,"Part paid","Not due"))))))</f>
        <v/>
      </c>
      <c r="O427" s="50" t="str">
        <f aca="false">IF(AND(D427="",B427="",C427="",E427=""),"",IF(D427="","⚠ Pick supplier",IF(ISNA(MATCH(D427,Suppliers!$B$7:$B$106,0)),"⚠ Supplier not in list",IF(B427="","⚠ Enter bill date",IF(N(E427)&lt;=0,"⚠ Enter amount",IF(AND(C427&lt;&gt;"",COUNTIFS($D$8:$D$507,D427,$C$8:$C$507,C427)&gt;1),"⚠ Bill no. used twice",IF(N(I427)&gt;N(E427),"⚠ Paid more than bill","✔")))))))</f>
        <v/>
      </c>
      <c r="P427" s="9" t="n">
        <f aca="false">IF(D427="",0,MAX(0,N(E427)-N(I427)))</f>
        <v>0</v>
      </c>
      <c r="Q427" s="9" t="n">
        <f aca="false">IF(D427="",0,SUMIFS($P$8:$P$507,$D$8:$D$507,D427,$B$8:$B$507,"&lt;"&amp;B427)+SUMIFS($P$8:P426,$D$8:D426,D427,$B$8:B426,B427))</f>
        <v>0</v>
      </c>
      <c r="R427" s="9" t="n">
        <f aca="false">IF(D427="",0,IFERROR(INDEX(Suppliers!$R$7:$R$106,MATCH(D427,Suppliers!$B$7:$B$106,0)),0))</f>
        <v>0</v>
      </c>
      <c r="S427" s="9" t="str">
        <f aca="false">IF(N(K427)&gt;0,IF(H427="",99999,MIN(H427,IF(ISNUMBER(M427),M427,H427)))+ROW()/100000,"")</f>
        <v/>
      </c>
      <c r="U427" s="9" t="n">
        <f aca="false">IF(N(K427)&gt;0,N(L427),0)</f>
        <v>0</v>
      </c>
      <c r="V427" s="9" t="n">
        <f aca="false">IF(AND(N(K427)&gt;0,ISNUMBER(M427)),M427-Setup!$C$11,99999)</f>
        <v>99999</v>
      </c>
    </row>
    <row r="428" customFormat="false" ht="15" hidden="false" customHeight="false" outlineLevel="0" collapsed="false">
      <c r="A428" s="40" t="str">
        <f aca="false">IF(D428="","",ROW()-7)</f>
        <v/>
      </c>
      <c r="B428" s="79"/>
      <c r="C428" s="75"/>
      <c r="D428" s="76"/>
      <c r="E428" s="80"/>
      <c r="F428" s="79"/>
      <c r="G428" s="76"/>
      <c r="H428" s="54" t="str">
        <f aca="false">IF(OR(D428="",B428=""),"",IF(F428&lt;&gt;"",F428,B428+IFERROR(INDEX(Suppliers!$Q$7:$Q$106,MATCH(D428,Suppliers!$B$7:$B$106,0)),Setup!$C$7)))</f>
        <v/>
      </c>
      <c r="I428" s="46" t="str">
        <f aca="false">IF(OR(D428="",C428=""),IF(D428="","",0),SUMIFS(Payments!$D$8:$D$507,Payments!$C$8:$C$507,D428,Payments!$F$8:$F$507,C428))</f>
        <v/>
      </c>
      <c r="J428" s="46" t="str">
        <f aca="false">IF(D428="","",MIN(P428,MAX(0,R428-Q428)))</f>
        <v/>
      </c>
      <c r="K428" s="47" t="str">
        <f aca="false">IF(D428="","",P428-J428)</f>
        <v/>
      </c>
      <c r="L428" s="55" t="str">
        <f aca="false">IF(OR(D428="",N(K428)&lt;=0,H428=""),"",MAX(0,Setup!$C$11-H428))</f>
        <v/>
      </c>
      <c r="M428" s="54" t="str">
        <f aca="false">IF(OR(D428="",B428=""),"",IF(IFERROR(INDEX(Suppliers!$S$7:$S$106,MATCH(D428,Suppliers!$B$7:$B$106,0)),"")="","–",B428+IFERROR(INDEX(Suppliers!$S$7:$S$106,MATCH(D428,Suppliers!$B$7:$B$106,0)),"")))</f>
        <v/>
      </c>
      <c r="N428" s="56" t="str">
        <f aca="false">IF(D428="","",IF(N(K428)&lt;=0,"Paid",IF(AND(ISNUMBER(M428),Setup!$C$11&gt;M428),"⚠ MSME late",IF(N(L428)&gt;0,"Overdue",IF(N(V428)&lt;=Setup!$C$9,"⚠ MSME due soon",IF(K428&lt;E428,"Part paid","Not due"))))))</f>
        <v/>
      </c>
      <c r="O428" s="50" t="str">
        <f aca="false">IF(AND(D428="",B428="",C428="",E428=""),"",IF(D428="","⚠ Pick supplier",IF(ISNA(MATCH(D428,Suppliers!$B$7:$B$106,0)),"⚠ Supplier not in list",IF(B428="","⚠ Enter bill date",IF(N(E428)&lt;=0,"⚠ Enter amount",IF(AND(C428&lt;&gt;"",COUNTIFS($D$8:$D$507,D428,$C$8:$C$507,C428)&gt;1),"⚠ Bill no. used twice",IF(N(I428)&gt;N(E428),"⚠ Paid more than bill","✔")))))))</f>
        <v/>
      </c>
      <c r="P428" s="9" t="n">
        <f aca="false">IF(D428="",0,MAX(0,N(E428)-N(I428)))</f>
        <v>0</v>
      </c>
      <c r="Q428" s="9" t="n">
        <f aca="false">IF(D428="",0,SUMIFS($P$8:$P$507,$D$8:$D$507,D428,$B$8:$B$507,"&lt;"&amp;B428)+SUMIFS($P$8:P427,$D$8:D427,D428,$B$8:B427,B428))</f>
        <v>0</v>
      </c>
      <c r="R428" s="9" t="n">
        <f aca="false">IF(D428="",0,IFERROR(INDEX(Suppliers!$R$7:$R$106,MATCH(D428,Suppliers!$B$7:$B$106,0)),0))</f>
        <v>0</v>
      </c>
      <c r="S428" s="9" t="str">
        <f aca="false">IF(N(K428)&gt;0,IF(H428="",99999,MIN(H428,IF(ISNUMBER(M428),M428,H428)))+ROW()/100000,"")</f>
        <v/>
      </c>
      <c r="U428" s="9" t="n">
        <f aca="false">IF(N(K428)&gt;0,N(L428),0)</f>
        <v>0</v>
      </c>
      <c r="V428" s="9" t="n">
        <f aca="false">IF(AND(N(K428)&gt;0,ISNUMBER(M428)),M428-Setup!$C$11,99999)</f>
        <v>99999</v>
      </c>
    </row>
    <row r="429" customFormat="false" ht="15" hidden="false" customHeight="false" outlineLevel="0" collapsed="false">
      <c r="A429" s="40" t="str">
        <f aca="false">IF(D429="","",ROW()-7)</f>
        <v/>
      </c>
      <c r="B429" s="79"/>
      <c r="C429" s="75"/>
      <c r="D429" s="76"/>
      <c r="E429" s="80"/>
      <c r="F429" s="79"/>
      <c r="G429" s="76"/>
      <c r="H429" s="54" t="str">
        <f aca="false">IF(OR(D429="",B429=""),"",IF(F429&lt;&gt;"",F429,B429+IFERROR(INDEX(Suppliers!$Q$7:$Q$106,MATCH(D429,Suppliers!$B$7:$B$106,0)),Setup!$C$7)))</f>
        <v/>
      </c>
      <c r="I429" s="46" t="str">
        <f aca="false">IF(OR(D429="",C429=""),IF(D429="","",0),SUMIFS(Payments!$D$8:$D$507,Payments!$C$8:$C$507,D429,Payments!$F$8:$F$507,C429))</f>
        <v/>
      </c>
      <c r="J429" s="46" t="str">
        <f aca="false">IF(D429="","",MIN(P429,MAX(0,R429-Q429)))</f>
        <v/>
      </c>
      <c r="K429" s="47" t="str">
        <f aca="false">IF(D429="","",P429-J429)</f>
        <v/>
      </c>
      <c r="L429" s="55" t="str">
        <f aca="false">IF(OR(D429="",N(K429)&lt;=0,H429=""),"",MAX(0,Setup!$C$11-H429))</f>
        <v/>
      </c>
      <c r="M429" s="54" t="str">
        <f aca="false">IF(OR(D429="",B429=""),"",IF(IFERROR(INDEX(Suppliers!$S$7:$S$106,MATCH(D429,Suppliers!$B$7:$B$106,0)),"")="","–",B429+IFERROR(INDEX(Suppliers!$S$7:$S$106,MATCH(D429,Suppliers!$B$7:$B$106,0)),"")))</f>
        <v/>
      </c>
      <c r="N429" s="56" t="str">
        <f aca="false">IF(D429="","",IF(N(K429)&lt;=0,"Paid",IF(AND(ISNUMBER(M429),Setup!$C$11&gt;M429),"⚠ MSME late",IF(N(L429)&gt;0,"Overdue",IF(N(V429)&lt;=Setup!$C$9,"⚠ MSME due soon",IF(K429&lt;E429,"Part paid","Not due"))))))</f>
        <v/>
      </c>
      <c r="O429" s="50" t="str">
        <f aca="false">IF(AND(D429="",B429="",C429="",E429=""),"",IF(D429="","⚠ Pick supplier",IF(ISNA(MATCH(D429,Suppliers!$B$7:$B$106,0)),"⚠ Supplier not in list",IF(B429="","⚠ Enter bill date",IF(N(E429)&lt;=0,"⚠ Enter amount",IF(AND(C429&lt;&gt;"",COUNTIFS($D$8:$D$507,D429,$C$8:$C$507,C429)&gt;1),"⚠ Bill no. used twice",IF(N(I429)&gt;N(E429),"⚠ Paid more than bill","✔")))))))</f>
        <v/>
      </c>
      <c r="P429" s="9" t="n">
        <f aca="false">IF(D429="",0,MAX(0,N(E429)-N(I429)))</f>
        <v>0</v>
      </c>
      <c r="Q429" s="9" t="n">
        <f aca="false">IF(D429="",0,SUMIFS($P$8:$P$507,$D$8:$D$507,D429,$B$8:$B$507,"&lt;"&amp;B429)+SUMIFS($P$8:P428,$D$8:D428,D429,$B$8:B428,B429))</f>
        <v>0</v>
      </c>
      <c r="R429" s="9" t="n">
        <f aca="false">IF(D429="",0,IFERROR(INDEX(Suppliers!$R$7:$R$106,MATCH(D429,Suppliers!$B$7:$B$106,0)),0))</f>
        <v>0</v>
      </c>
      <c r="S429" s="9" t="str">
        <f aca="false">IF(N(K429)&gt;0,IF(H429="",99999,MIN(H429,IF(ISNUMBER(M429),M429,H429)))+ROW()/100000,"")</f>
        <v/>
      </c>
      <c r="U429" s="9" t="n">
        <f aca="false">IF(N(K429)&gt;0,N(L429),0)</f>
        <v>0</v>
      </c>
      <c r="V429" s="9" t="n">
        <f aca="false">IF(AND(N(K429)&gt;0,ISNUMBER(M429)),M429-Setup!$C$11,99999)</f>
        <v>99999</v>
      </c>
    </row>
    <row r="430" customFormat="false" ht="15" hidden="false" customHeight="false" outlineLevel="0" collapsed="false">
      <c r="A430" s="40" t="str">
        <f aca="false">IF(D430="","",ROW()-7)</f>
        <v/>
      </c>
      <c r="B430" s="79"/>
      <c r="C430" s="75"/>
      <c r="D430" s="76"/>
      <c r="E430" s="80"/>
      <c r="F430" s="79"/>
      <c r="G430" s="76"/>
      <c r="H430" s="54" t="str">
        <f aca="false">IF(OR(D430="",B430=""),"",IF(F430&lt;&gt;"",F430,B430+IFERROR(INDEX(Suppliers!$Q$7:$Q$106,MATCH(D430,Suppliers!$B$7:$B$106,0)),Setup!$C$7)))</f>
        <v/>
      </c>
      <c r="I430" s="46" t="str">
        <f aca="false">IF(OR(D430="",C430=""),IF(D430="","",0),SUMIFS(Payments!$D$8:$D$507,Payments!$C$8:$C$507,D430,Payments!$F$8:$F$507,C430))</f>
        <v/>
      </c>
      <c r="J430" s="46" t="str">
        <f aca="false">IF(D430="","",MIN(P430,MAX(0,R430-Q430)))</f>
        <v/>
      </c>
      <c r="K430" s="47" t="str">
        <f aca="false">IF(D430="","",P430-J430)</f>
        <v/>
      </c>
      <c r="L430" s="55" t="str">
        <f aca="false">IF(OR(D430="",N(K430)&lt;=0,H430=""),"",MAX(0,Setup!$C$11-H430))</f>
        <v/>
      </c>
      <c r="M430" s="54" t="str">
        <f aca="false">IF(OR(D430="",B430=""),"",IF(IFERROR(INDEX(Suppliers!$S$7:$S$106,MATCH(D430,Suppliers!$B$7:$B$106,0)),"")="","–",B430+IFERROR(INDEX(Suppliers!$S$7:$S$106,MATCH(D430,Suppliers!$B$7:$B$106,0)),"")))</f>
        <v/>
      </c>
      <c r="N430" s="56" t="str">
        <f aca="false">IF(D430="","",IF(N(K430)&lt;=0,"Paid",IF(AND(ISNUMBER(M430),Setup!$C$11&gt;M430),"⚠ MSME late",IF(N(L430)&gt;0,"Overdue",IF(N(V430)&lt;=Setup!$C$9,"⚠ MSME due soon",IF(K430&lt;E430,"Part paid","Not due"))))))</f>
        <v/>
      </c>
      <c r="O430" s="50" t="str">
        <f aca="false">IF(AND(D430="",B430="",C430="",E430=""),"",IF(D430="","⚠ Pick supplier",IF(ISNA(MATCH(D430,Suppliers!$B$7:$B$106,0)),"⚠ Supplier not in list",IF(B430="","⚠ Enter bill date",IF(N(E430)&lt;=0,"⚠ Enter amount",IF(AND(C430&lt;&gt;"",COUNTIFS($D$8:$D$507,D430,$C$8:$C$507,C430)&gt;1),"⚠ Bill no. used twice",IF(N(I430)&gt;N(E430),"⚠ Paid more than bill","✔")))))))</f>
        <v/>
      </c>
      <c r="P430" s="9" t="n">
        <f aca="false">IF(D430="",0,MAX(0,N(E430)-N(I430)))</f>
        <v>0</v>
      </c>
      <c r="Q430" s="9" t="n">
        <f aca="false">IF(D430="",0,SUMIFS($P$8:$P$507,$D$8:$D$507,D430,$B$8:$B$507,"&lt;"&amp;B430)+SUMIFS($P$8:P429,$D$8:D429,D430,$B$8:B429,B430))</f>
        <v>0</v>
      </c>
      <c r="R430" s="9" t="n">
        <f aca="false">IF(D430="",0,IFERROR(INDEX(Suppliers!$R$7:$R$106,MATCH(D430,Suppliers!$B$7:$B$106,0)),0))</f>
        <v>0</v>
      </c>
      <c r="S430" s="9" t="str">
        <f aca="false">IF(N(K430)&gt;0,IF(H430="",99999,MIN(H430,IF(ISNUMBER(M430),M430,H430)))+ROW()/100000,"")</f>
        <v/>
      </c>
      <c r="U430" s="9" t="n">
        <f aca="false">IF(N(K430)&gt;0,N(L430),0)</f>
        <v>0</v>
      </c>
      <c r="V430" s="9" t="n">
        <f aca="false">IF(AND(N(K430)&gt;0,ISNUMBER(M430)),M430-Setup!$C$11,99999)</f>
        <v>99999</v>
      </c>
    </row>
    <row r="431" customFormat="false" ht="15" hidden="false" customHeight="false" outlineLevel="0" collapsed="false">
      <c r="A431" s="40" t="str">
        <f aca="false">IF(D431="","",ROW()-7)</f>
        <v/>
      </c>
      <c r="B431" s="79"/>
      <c r="C431" s="75"/>
      <c r="D431" s="76"/>
      <c r="E431" s="80"/>
      <c r="F431" s="79"/>
      <c r="G431" s="76"/>
      <c r="H431" s="54" t="str">
        <f aca="false">IF(OR(D431="",B431=""),"",IF(F431&lt;&gt;"",F431,B431+IFERROR(INDEX(Suppliers!$Q$7:$Q$106,MATCH(D431,Suppliers!$B$7:$B$106,0)),Setup!$C$7)))</f>
        <v/>
      </c>
      <c r="I431" s="46" t="str">
        <f aca="false">IF(OR(D431="",C431=""),IF(D431="","",0),SUMIFS(Payments!$D$8:$D$507,Payments!$C$8:$C$507,D431,Payments!$F$8:$F$507,C431))</f>
        <v/>
      </c>
      <c r="J431" s="46" t="str">
        <f aca="false">IF(D431="","",MIN(P431,MAX(0,R431-Q431)))</f>
        <v/>
      </c>
      <c r="K431" s="47" t="str">
        <f aca="false">IF(D431="","",P431-J431)</f>
        <v/>
      </c>
      <c r="L431" s="55" t="str">
        <f aca="false">IF(OR(D431="",N(K431)&lt;=0,H431=""),"",MAX(0,Setup!$C$11-H431))</f>
        <v/>
      </c>
      <c r="M431" s="54" t="str">
        <f aca="false">IF(OR(D431="",B431=""),"",IF(IFERROR(INDEX(Suppliers!$S$7:$S$106,MATCH(D431,Suppliers!$B$7:$B$106,0)),"")="","–",B431+IFERROR(INDEX(Suppliers!$S$7:$S$106,MATCH(D431,Suppliers!$B$7:$B$106,0)),"")))</f>
        <v/>
      </c>
      <c r="N431" s="56" t="str">
        <f aca="false">IF(D431="","",IF(N(K431)&lt;=0,"Paid",IF(AND(ISNUMBER(M431),Setup!$C$11&gt;M431),"⚠ MSME late",IF(N(L431)&gt;0,"Overdue",IF(N(V431)&lt;=Setup!$C$9,"⚠ MSME due soon",IF(K431&lt;E431,"Part paid","Not due"))))))</f>
        <v/>
      </c>
      <c r="O431" s="50" t="str">
        <f aca="false">IF(AND(D431="",B431="",C431="",E431=""),"",IF(D431="","⚠ Pick supplier",IF(ISNA(MATCH(D431,Suppliers!$B$7:$B$106,0)),"⚠ Supplier not in list",IF(B431="","⚠ Enter bill date",IF(N(E431)&lt;=0,"⚠ Enter amount",IF(AND(C431&lt;&gt;"",COUNTIFS($D$8:$D$507,D431,$C$8:$C$507,C431)&gt;1),"⚠ Bill no. used twice",IF(N(I431)&gt;N(E431),"⚠ Paid more than bill","✔")))))))</f>
        <v/>
      </c>
      <c r="P431" s="9" t="n">
        <f aca="false">IF(D431="",0,MAX(0,N(E431)-N(I431)))</f>
        <v>0</v>
      </c>
      <c r="Q431" s="9" t="n">
        <f aca="false">IF(D431="",0,SUMIFS($P$8:$P$507,$D$8:$D$507,D431,$B$8:$B$507,"&lt;"&amp;B431)+SUMIFS($P$8:P430,$D$8:D430,D431,$B$8:B430,B431))</f>
        <v>0</v>
      </c>
      <c r="R431" s="9" t="n">
        <f aca="false">IF(D431="",0,IFERROR(INDEX(Suppliers!$R$7:$R$106,MATCH(D431,Suppliers!$B$7:$B$106,0)),0))</f>
        <v>0</v>
      </c>
      <c r="S431" s="9" t="str">
        <f aca="false">IF(N(K431)&gt;0,IF(H431="",99999,MIN(H431,IF(ISNUMBER(M431),M431,H431)))+ROW()/100000,"")</f>
        <v/>
      </c>
      <c r="U431" s="9" t="n">
        <f aca="false">IF(N(K431)&gt;0,N(L431),0)</f>
        <v>0</v>
      </c>
      <c r="V431" s="9" t="n">
        <f aca="false">IF(AND(N(K431)&gt;0,ISNUMBER(M431)),M431-Setup!$C$11,99999)</f>
        <v>99999</v>
      </c>
    </row>
    <row r="432" customFormat="false" ht="15" hidden="false" customHeight="false" outlineLevel="0" collapsed="false">
      <c r="A432" s="40" t="str">
        <f aca="false">IF(D432="","",ROW()-7)</f>
        <v/>
      </c>
      <c r="B432" s="79"/>
      <c r="C432" s="75"/>
      <c r="D432" s="76"/>
      <c r="E432" s="80"/>
      <c r="F432" s="79"/>
      <c r="G432" s="76"/>
      <c r="H432" s="54" t="str">
        <f aca="false">IF(OR(D432="",B432=""),"",IF(F432&lt;&gt;"",F432,B432+IFERROR(INDEX(Suppliers!$Q$7:$Q$106,MATCH(D432,Suppliers!$B$7:$B$106,0)),Setup!$C$7)))</f>
        <v/>
      </c>
      <c r="I432" s="46" t="str">
        <f aca="false">IF(OR(D432="",C432=""),IF(D432="","",0),SUMIFS(Payments!$D$8:$D$507,Payments!$C$8:$C$507,D432,Payments!$F$8:$F$507,C432))</f>
        <v/>
      </c>
      <c r="J432" s="46" t="str">
        <f aca="false">IF(D432="","",MIN(P432,MAX(0,R432-Q432)))</f>
        <v/>
      </c>
      <c r="K432" s="47" t="str">
        <f aca="false">IF(D432="","",P432-J432)</f>
        <v/>
      </c>
      <c r="L432" s="55" t="str">
        <f aca="false">IF(OR(D432="",N(K432)&lt;=0,H432=""),"",MAX(0,Setup!$C$11-H432))</f>
        <v/>
      </c>
      <c r="M432" s="54" t="str">
        <f aca="false">IF(OR(D432="",B432=""),"",IF(IFERROR(INDEX(Suppliers!$S$7:$S$106,MATCH(D432,Suppliers!$B$7:$B$106,0)),"")="","–",B432+IFERROR(INDEX(Suppliers!$S$7:$S$106,MATCH(D432,Suppliers!$B$7:$B$106,0)),"")))</f>
        <v/>
      </c>
      <c r="N432" s="56" t="str">
        <f aca="false">IF(D432="","",IF(N(K432)&lt;=0,"Paid",IF(AND(ISNUMBER(M432),Setup!$C$11&gt;M432),"⚠ MSME late",IF(N(L432)&gt;0,"Overdue",IF(N(V432)&lt;=Setup!$C$9,"⚠ MSME due soon",IF(K432&lt;E432,"Part paid","Not due"))))))</f>
        <v/>
      </c>
      <c r="O432" s="50" t="str">
        <f aca="false">IF(AND(D432="",B432="",C432="",E432=""),"",IF(D432="","⚠ Pick supplier",IF(ISNA(MATCH(D432,Suppliers!$B$7:$B$106,0)),"⚠ Supplier not in list",IF(B432="","⚠ Enter bill date",IF(N(E432)&lt;=0,"⚠ Enter amount",IF(AND(C432&lt;&gt;"",COUNTIFS($D$8:$D$507,D432,$C$8:$C$507,C432)&gt;1),"⚠ Bill no. used twice",IF(N(I432)&gt;N(E432),"⚠ Paid more than bill","✔")))))))</f>
        <v/>
      </c>
      <c r="P432" s="9" t="n">
        <f aca="false">IF(D432="",0,MAX(0,N(E432)-N(I432)))</f>
        <v>0</v>
      </c>
      <c r="Q432" s="9" t="n">
        <f aca="false">IF(D432="",0,SUMIFS($P$8:$P$507,$D$8:$D$507,D432,$B$8:$B$507,"&lt;"&amp;B432)+SUMIFS($P$8:P431,$D$8:D431,D432,$B$8:B431,B432))</f>
        <v>0</v>
      </c>
      <c r="R432" s="9" t="n">
        <f aca="false">IF(D432="",0,IFERROR(INDEX(Suppliers!$R$7:$R$106,MATCH(D432,Suppliers!$B$7:$B$106,0)),0))</f>
        <v>0</v>
      </c>
      <c r="S432" s="9" t="str">
        <f aca="false">IF(N(K432)&gt;0,IF(H432="",99999,MIN(H432,IF(ISNUMBER(M432),M432,H432)))+ROW()/100000,"")</f>
        <v/>
      </c>
      <c r="U432" s="9" t="n">
        <f aca="false">IF(N(K432)&gt;0,N(L432),0)</f>
        <v>0</v>
      </c>
      <c r="V432" s="9" t="n">
        <f aca="false">IF(AND(N(K432)&gt;0,ISNUMBER(M432)),M432-Setup!$C$11,99999)</f>
        <v>99999</v>
      </c>
    </row>
    <row r="433" customFormat="false" ht="15" hidden="false" customHeight="false" outlineLevel="0" collapsed="false">
      <c r="A433" s="40" t="str">
        <f aca="false">IF(D433="","",ROW()-7)</f>
        <v/>
      </c>
      <c r="B433" s="79"/>
      <c r="C433" s="75"/>
      <c r="D433" s="76"/>
      <c r="E433" s="80"/>
      <c r="F433" s="79"/>
      <c r="G433" s="76"/>
      <c r="H433" s="54" t="str">
        <f aca="false">IF(OR(D433="",B433=""),"",IF(F433&lt;&gt;"",F433,B433+IFERROR(INDEX(Suppliers!$Q$7:$Q$106,MATCH(D433,Suppliers!$B$7:$B$106,0)),Setup!$C$7)))</f>
        <v/>
      </c>
      <c r="I433" s="46" t="str">
        <f aca="false">IF(OR(D433="",C433=""),IF(D433="","",0),SUMIFS(Payments!$D$8:$D$507,Payments!$C$8:$C$507,D433,Payments!$F$8:$F$507,C433))</f>
        <v/>
      </c>
      <c r="J433" s="46" t="str">
        <f aca="false">IF(D433="","",MIN(P433,MAX(0,R433-Q433)))</f>
        <v/>
      </c>
      <c r="K433" s="47" t="str">
        <f aca="false">IF(D433="","",P433-J433)</f>
        <v/>
      </c>
      <c r="L433" s="55" t="str">
        <f aca="false">IF(OR(D433="",N(K433)&lt;=0,H433=""),"",MAX(0,Setup!$C$11-H433))</f>
        <v/>
      </c>
      <c r="M433" s="54" t="str">
        <f aca="false">IF(OR(D433="",B433=""),"",IF(IFERROR(INDEX(Suppliers!$S$7:$S$106,MATCH(D433,Suppliers!$B$7:$B$106,0)),"")="","–",B433+IFERROR(INDEX(Suppliers!$S$7:$S$106,MATCH(D433,Suppliers!$B$7:$B$106,0)),"")))</f>
        <v/>
      </c>
      <c r="N433" s="56" t="str">
        <f aca="false">IF(D433="","",IF(N(K433)&lt;=0,"Paid",IF(AND(ISNUMBER(M433),Setup!$C$11&gt;M433),"⚠ MSME late",IF(N(L433)&gt;0,"Overdue",IF(N(V433)&lt;=Setup!$C$9,"⚠ MSME due soon",IF(K433&lt;E433,"Part paid","Not due"))))))</f>
        <v/>
      </c>
      <c r="O433" s="50" t="str">
        <f aca="false">IF(AND(D433="",B433="",C433="",E433=""),"",IF(D433="","⚠ Pick supplier",IF(ISNA(MATCH(D433,Suppliers!$B$7:$B$106,0)),"⚠ Supplier not in list",IF(B433="","⚠ Enter bill date",IF(N(E433)&lt;=0,"⚠ Enter amount",IF(AND(C433&lt;&gt;"",COUNTIFS($D$8:$D$507,D433,$C$8:$C$507,C433)&gt;1),"⚠ Bill no. used twice",IF(N(I433)&gt;N(E433),"⚠ Paid more than bill","✔")))))))</f>
        <v/>
      </c>
      <c r="P433" s="9" t="n">
        <f aca="false">IF(D433="",0,MAX(0,N(E433)-N(I433)))</f>
        <v>0</v>
      </c>
      <c r="Q433" s="9" t="n">
        <f aca="false">IF(D433="",0,SUMIFS($P$8:$P$507,$D$8:$D$507,D433,$B$8:$B$507,"&lt;"&amp;B433)+SUMIFS($P$8:P432,$D$8:D432,D433,$B$8:B432,B433))</f>
        <v>0</v>
      </c>
      <c r="R433" s="9" t="n">
        <f aca="false">IF(D433="",0,IFERROR(INDEX(Suppliers!$R$7:$R$106,MATCH(D433,Suppliers!$B$7:$B$106,0)),0))</f>
        <v>0</v>
      </c>
      <c r="S433" s="9" t="str">
        <f aca="false">IF(N(K433)&gt;0,IF(H433="",99999,MIN(H433,IF(ISNUMBER(M433),M433,H433)))+ROW()/100000,"")</f>
        <v/>
      </c>
      <c r="U433" s="9" t="n">
        <f aca="false">IF(N(K433)&gt;0,N(L433),0)</f>
        <v>0</v>
      </c>
      <c r="V433" s="9" t="n">
        <f aca="false">IF(AND(N(K433)&gt;0,ISNUMBER(M433)),M433-Setup!$C$11,99999)</f>
        <v>99999</v>
      </c>
    </row>
    <row r="434" customFormat="false" ht="15" hidden="false" customHeight="false" outlineLevel="0" collapsed="false">
      <c r="A434" s="40" t="str">
        <f aca="false">IF(D434="","",ROW()-7)</f>
        <v/>
      </c>
      <c r="B434" s="79"/>
      <c r="C434" s="75"/>
      <c r="D434" s="76"/>
      <c r="E434" s="80"/>
      <c r="F434" s="79"/>
      <c r="G434" s="76"/>
      <c r="H434" s="54" t="str">
        <f aca="false">IF(OR(D434="",B434=""),"",IF(F434&lt;&gt;"",F434,B434+IFERROR(INDEX(Suppliers!$Q$7:$Q$106,MATCH(D434,Suppliers!$B$7:$B$106,0)),Setup!$C$7)))</f>
        <v/>
      </c>
      <c r="I434" s="46" t="str">
        <f aca="false">IF(OR(D434="",C434=""),IF(D434="","",0),SUMIFS(Payments!$D$8:$D$507,Payments!$C$8:$C$507,D434,Payments!$F$8:$F$507,C434))</f>
        <v/>
      </c>
      <c r="J434" s="46" t="str">
        <f aca="false">IF(D434="","",MIN(P434,MAX(0,R434-Q434)))</f>
        <v/>
      </c>
      <c r="K434" s="47" t="str">
        <f aca="false">IF(D434="","",P434-J434)</f>
        <v/>
      </c>
      <c r="L434" s="55" t="str">
        <f aca="false">IF(OR(D434="",N(K434)&lt;=0,H434=""),"",MAX(0,Setup!$C$11-H434))</f>
        <v/>
      </c>
      <c r="M434" s="54" t="str">
        <f aca="false">IF(OR(D434="",B434=""),"",IF(IFERROR(INDEX(Suppliers!$S$7:$S$106,MATCH(D434,Suppliers!$B$7:$B$106,0)),"")="","–",B434+IFERROR(INDEX(Suppliers!$S$7:$S$106,MATCH(D434,Suppliers!$B$7:$B$106,0)),"")))</f>
        <v/>
      </c>
      <c r="N434" s="56" t="str">
        <f aca="false">IF(D434="","",IF(N(K434)&lt;=0,"Paid",IF(AND(ISNUMBER(M434),Setup!$C$11&gt;M434),"⚠ MSME late",IF(N(L434)&gt;0,"Overdue",IF(N(V434)&lt;=Setup!$C$9,"⚠ MSME due soon",IF(K434&lt;E434,"Part paid","Not due"))))))</f>
        <v/>
      </c>
      <c r="O434" s="50" t="str">
        <f aca="false">IF(AND(D434="",B434="",C434="",E434=""),"",IF(D434="","⚠ Pick supplier",IF(ISNA(MATCH(D434,Suppliers!$B$7:$B$106,0)),"⚠ Supplier not in list",IF(B434="","⚠ Enter bill date",IF(N(E434)&lt;=0,"⚠ Enter amount",IF(AND(C434&lt;&gt;"",COUNTIFS($D$8:$D$507,D434,$C$8:$C$507,C434)&gt;1),"⚠ Bill no. used twice",IF(N(I434)&gt;N(E434),"⚠ Paid more than bill","✔")))))))</f>
        <v/>
      </c>
      <c r="P434" s="9" t="n">
        <f aca="false">IF(D434="",0,MAX(0,N(E434)-N(I434)))</f>
        <v>0</v>
      </c>
      <c r="Q434" s="9" t="n">
        <f aca="false">IF(D434="",0,SUMIFS($P$8:$P$507,$D$8:$D$507,D434,$B$8:$B$507,"&lt;"&amp;B434)+SUMIFS($P$8:P433,$D$8:D433,D434,$B$8:B433,B434))</f>
        <v>0</v>
      </c>
      <c r="R434" s="9" t="n">
        <f aca="false">IF(D434="",0,IFERROR(INDEX(Suppliers!$R$7:$R$106,MATCH(D434,Suppliers!$B$7:$B$106,0)),0))</f>
        <v>0</v>
      </c>
      <c r="S434" s="9" t="str">
        <f aca="false">IF(N(K434)&gt;0,IF(H434="",99999,MIN(H434,IF(ISNUMBER(M434),M434,H434)))+ROW()/100000,"")</f>
        <v/>
      </c>
      <c r="U434" s="9" t="n">
        <f aca="false">IF(N(K434)&gt;0,N(L434),0)</f>
        <v>0</v>
      </c>
      <c r="V434" s="9" t="n">
        <f aca="false">IF(AND(N(K434)&gt;0,ISNUMBER(M434)),M434-Setup!$C$11,99999)</f>
        <v>99999</v>
      </c>
    </row>
    <row r="435" customFormat="false" ht="15" hidden="false" customHeight="false" outlineLevel="0" collapsed="false">
      <c r="A435" s="40" t="str">
        <f aca="false">IF(D435="","",ROW()-7)</f>
        <v/>
      </c>
      <c r="B435" s="79"/>
      <c r="C435" s="75"/>
      <c r="D435" s="76"/>
      <c r="E435" s="80"/>
      <c r="F435" s="79"/>
      <c r="G435" s="76"/>
      <c r="H435" s="54" t="str">
        <f aca="false">IF(OR(D435="",B435=""),"",IF(F435&lt;&gt;"",F435,B435+IFERROR(INDEX(Suppliers!$Q$7:$Q$106,MATCH(D435,Suppliers!$B$7:$B$106,0)),Setup!$C$7)))</f>
        <v/>
      </c>
      <c r="I435" s="46" t="str">
        <f aca="false">IF(OR(D435="",C435=""),IF(D435="","",0),SUMIFS(Payments!$D$8:$D$507,Payments!$C$8:$C$507,D435,Payments!$F$8:$F$507,C435))</f>
        <v/>
      </c>
      <c r="J435" s="46" t="str">
        <f aca="false">IF(D435="","",MIN(P435,MAX(0,R435-Q435)))</f>
        <v/>
      </c>
      <c r="K435" s="47" t="str">
        <f aca="false">IF(D435="","",P435-J435)</f>
        <v/>
      </c>
      <c r="L435" s="55" t="str">
        <f aca="false">IF(OR(D435="",N(K435)&lt;=0,H435=""),"",MAX(0,Setup!$C$11-H435))</f>
        <v/>
      </c>
      <c r="M435" s="54" t="str">
        <f aca="false">IF(OR(D435="",B435=""),"",IF(IFERROR(INDEX(Suppliers!$S$7:$S$106,MATCH(D435,Suppliers!$B$7:$B$106,0)),"")="","–",B435+IFERROR(INDEX(Suppliers!$S$7:$S$106,MATCH(D435,Suppliers!$B$7:$B$106,0)),"")))</f>
        <v/>
      </c>
      <c r="N435" s="56" t="str">
        <f aca="false">IF(D435="","",IF(N(K435)&lt;=0,"Paid",IF(AND(ISNUMBER(M435),Setup!$C$11&gt;M435),"⚠ MSME late",IF(N(L435)&gt;0,"Overdue",IF(N(V435)&lt;=Setup!$C$9,"⚠ MSME due soon",IF(K435&lt;E435,"Part paid","Not due"))))))</f>
        <v/>
      </c>
      <c r="O435" s="50" t="str">
        <f aca="false">IF(AND(D435="",B435="",C435="",E435=""),"",IF(D435="","⚠ Pick supplier",IF(ISNA(MATCH(D435,Suppliers!$B$7:$B$106,0)),"⚠ Supplier not in list",IF(B435="","⚠ Enter bill date",IF(N(E435)&lt;=0,"⚠ Enter amount",IF(AND(C435&lt;&gt;"",COUNTIFS($D$8:$D$507,D435,$C$8:$C$507,C435)&gt;1),"⚠ Bill no. used twice",IF(N(I435)&gt;N(E435),"⚠ Paid more than bill","✔")))))))</f>
        <v/>
      </c>
      <c r="P435" s="9" t="n">
        <f aca="false">IF(D435="",0,MAX(0,N(E435)-N(I435)))</f>
        <v>0</v>
      </c>
      <c r="Q435" s="9" t="n">
        <f aca="false">IF(D435="",0,SUMIFS($P$8:$P$507,$D$8:$D$507,D435,$B$8:$B$507,"&lt;"&amp;B435)+SUMIFS($P$8:P434,$D$8:D434,D435,$B$8:B434,B435))</f>
        <v>0</v>
      </c>
      <c r="R435" s="9" t="n">
        <f aca="false">IF(D435="",0,IFERROR(INDEX(Suppliers!$R$7:$R$106,MATCH(D435,Suppliers!$B$7:$B$106,0)),0))</f>
        <v>0</v>
      </c>
      <c r="S435" s="9" t="str">
        <f aca="false">IF(N(K435)&gt;0,IF(H435="",99999,MIN(H435,IF(ISNUMBER(M435),M435,H435)))+ROW()/100000,"")</f>
        <v/>
      </c>
      <c r="U435" s="9" t="n">
        <f aca="false">IF(N(K435)&gt;0,N(L435),0)</f>
        <v>0</v>
      </c>
      <c r="V435" s="9" t="n">
        <f aca="false">IF(AND(N(K435)&gt;0,ISNUMBER(M435)),M435-Setup!$C$11,99999)</f>
        <v>99999</v>
      </c>
    </row>
    <row r="436" customFormat="false" ht="15" hidden="false" customHeight="false" outlineLevel="0" collapsed="false">
      <c r="A436" s="40" t="str">
        <f aca="false">IF(D436="","",ROW()-7)</f>
        <v/>
      </c>
      <c r="B436" s="79"/>
      <c r="C436" s="75"/>
      <c r="D436" s="76"/>
      <c r="E436" s="80"/>
      <c r="F436" s="79"/>
      <c r="G436" s="76"/>
      <c r="H436" s="54" t="str">
        <f aca="false">IF(OR(D436="",B436=""),"",IF(F436&lt;&gt;"",F436,B436+IFERROR(INDEX(Suppliers!$Q$7:$Q$106,MATCH(D436,Suppliers!$B$7:$B$106,0)),Setup!$C$7)))</f>
        <v/>
      </c>
      <c r="I436" s="46" t="str">
        <f aca="false">IF(OR(D436="",C436=""),IF(D436="","",0),SUMIFS(Payments!$D$8:$D$507,Payments!$C$8:$C$507,D436,Payments!$F$8:$F$507,C436))</f>
        <v/>
      </c>
      <c r="J436" s="46" t="str">
        <f aca="false">IF(D436="","",MIN(P436,MAX(0,R436-Q436)))</f>
        <v/>
      </c>
      <c r="K436" s="47" t="str">
        <f aca="false">IF(D436="","",P436-J436)</f>
        <v/>
      </c>
      <c r="L436" s="55" t="str">
        <f aca="false">IF(OR(D436="",N(K436)&lt;=0,H436=""),"",MAX(0,Setup!$C$11-H436))</f>
        <v/>
      </c>
      <c r="M436" s="54" t="str">
        <f aca="false">IF(OR(D436="",B436=""),"",IF(IFERROR(INDEX(Suppliers!$S$7:$S$106,MATCH(D436,Suppliers!$B$7:$B$106,0)),"")="","–",B436+IFERROR(INDEX(Suppliers!$S$7:$S$106,MATCH(D436,Suppliers!$B$7:$B$106,0)),"")))</f>
        <v/>
      </c>
      <c r="N436" s="56" t="str">
        <f aca="false">IF(D436="","",IF(N(K436)&lt;=0,"Paid",IF(AND(ISNUMBER(M436),Setup!$C$11&gt;M436),"⚠ MSME late",IF(N(L436)&gt;0,"Overdue",IF(N(V436)&lt;=Setup!$C$9,"⚠ MSME due soon",IF(K436&lt;E436,"Part paid","Not due"))))))</f>
        <v/>
      </c>
      <c r="O436" s="50" t="str">
        <f aca="false">IF(AND(D436="",B436="",C436="",E436=""),"",IF(D436="","⚠ Pick supplier",IF(ISNA(MATCH(D436,Suppliers!$B$7:$B$106,0)),"⚠ Supplier not in list",IF(B436="","⚠ Enter bill date",IF(N(E436)&lt;=0,"⚠ Enter amount",IF(AND(C436&lt;&gt;"",COUNTIFS($D$8:$D$507,D436,$C$8:$C$507,C436)&gt;1),"⚠ Bill no. used twice",IF(N(I436)&gt;N(E436),"⚠ Paid more than bill","✔")))))))</f>
        <v/>
      </c>
      <c r="P436" s="9" t="n">
        <f aca="false">IF(D436="",0,MAX(0,N(E436)-N(I436)))</f>
        <v>0</v>
      </c>
      <c r="Q436" s="9" t="n">
        <f aca="false">IF(D436="",0,SUMIFS($P$8:$P$507,$D$8:$D$507,D436,$B$8:$B$507,"&lt;"&amp;B436)+SUMIFS($P$8:P435,$D$8:D435,D436,$B$8:B435,B436))</f>
        <v>0</v>
      </c>
      <c r="R436" s="9" t="n">
        <f aca="false">IF(D436="",0,IFERROR(INDEX(Suppliers!$R$7:$R$106,MATCH(D436,Suppliers!$B$7:$B$106,0)),0))</f>
        <v>0</v>
      </c>
      <c r="S436" s="9" t="str">
        <f aca="false">IF(N(K436)&gt;0,IF(H436="",99999,MIN(H436,IF(ISNUMBER(M436),M436,H436)))+ROW()/100000,"")</f>
        <v/>
      </c>
      <c r="U436" s="9" t="n">
        <f aca="false">IF(N(K436)&gt;0,N(L436),0)</f>
        <v>0</v>
      </c>
      <c r="V436" s="9" t="n">
        <f aca="false">IF(AND(N(K436)&gt;0,ISNUMBER(M436)),M436-Setup!$C$11,99999)</f>
        <v>99999</v>
      </c>
    </row>
    <row r="437" customFormat="false" ht="15" hidden="false" customHeight="false" outlineLevel="0" collapsed="false">
      <c r="A437" s="40" t="str">
        <f aca="false">IF(D437="","",ROW()-7)</f>
        <v/>
      </c>
      <c r="B437" s="79"/>
      <c r="C437" s="75"/>
      <c r="D437" s="76"/>
      <c r="E437" s="80"/>
      <c r="F437" s="79"/>
      <c r="G437" s="76"/>
      <c r="H437" s="54" t="str">
        <f aca="false">IF(OR(D437="",B437=""),"",IF(F437&lt;&gt;"",F437,B437+IFERROR(INDEX(Suppliers!$Q$7:$Q$106,MATCH(D437,Suppliers!$B$7:$B$106,0)),Setup!$C$7)))</f>
        <v/>
      </c>
      <c r="I437" s="46" t="str">
        <f aca="false">IF(OR(D437="",C437=""),IF(D437="","",0),SUMIFS(Payments!$D$8:$D$507,Payments!$C$8:$C$507,D437,Payments!$F$8:$F$507,C437))</f>
        <v/>
      </c>
      <c r="J437" s="46" t="str">
        <f aca="false">IF(D437="","",MIN(P437,MAX(0,R437-Q437)))</f>
        <v/>
      </c>
      <c r="K437" s="47" t="str">
        <f aca="false">IF(D437="","",P437-J437)</f>
        <v/>
      </c>
      <c r="L437" s="55" t="str">
        <f aca="false">IF(OR(D437="",N(K437)&lt;=0,H437=""),"",MAX(0,Setup!$C$11-H437))</f>
        <v/>
      </c>
      <c r="M437" s="54" t="str">
        <f aca="false">IF(OR(D437="",B437=""),"",IF(IFERROR(INDEX(Suppliers!$S$7:$S$106,MATCH(D437,Suppliers!$B$7:$B$106,0)),"")="","–",B437+IFERROR(INDEX(Suppliers!$S$7:$S$106,MATCH(D437,Suppliers!$B$7:$B$106,0)),"")))</f>
        <v/>
      </c>
      <c r="N437" s="56" t="str">
        <f aca="false">IF(D437="","",IF(N(K437)&lt;=0,"Paid",IF(AND(ISNUMBER(M437),Setup!$C$11&gt;M437),"⚠ MSME late",IF(N(L437)&gt;0,"Overdue",IF(N(V437)&lt;=Setup!$C$9,"⚠ MSME due soon",IF(K437&lt;E437,"Part paid","Not due"))))))</f>
        <v/>
      </c>
      <c r="O437" s="50" t="str">
        <f aca="false">IF(AND(D437="",B437="",C437="",E437=""),"",IF(D437="","⚠ Pick supplier",IF(ISNA(MATCH(D437,Suppliers!$B$7:$B$106,0)),"⚠ Supplier not in list",IF(B437="","⚠ Enter bill date",IF(N(E437)&lt;=0,"⚠ Enter amount",IF(AND(C437&lt;&gt;"",COUNTIFS($D$8:$D$507,D437,$C$8:$C$507,C437)&gt;1),"⚠ Bill no. used twice",IF(N(I437)&gt;N(E437),"⚠ Paid more than bill","✔")))))))</f>
        <v/>
      </c>
      <c r="P437" s="9" t="n">
        <f aca="false">IF(D437="",0,MAX(0,N(E437)-N(I437)))</f>
        <v>0</v>
      </c>
      <c r="Q437" s="9" t="n">
        <f aca="false">IF(D437="",0,SUMIFS($P$8:$P$507,$D$8:$D$507,D437,$B$8:$B$507,"&lt;"&amp;B437)+SUMIFS($P$8:P436,$D$8:D436,D437,$B$8:B436,B437))</f>
        <v>0</v>
      </c>
      <c r="R437" s="9" t="n">
        <f aca="false">IF(D437="",0,IFERROR(INDEX(Suppliers!$R$7:$R$106,MATCH(D437,Suppliers!$B$7:$B$106,0)),0))</f>
        <v>0</v>
      </c>
      <c r="S437" s="9" t="str">
        <f aca="false">IF(N(K437)&gt;0,IF(H437="",99999,MIN(H437,IF(ISNUMBER(M437),M437,H437)))+ROW()/100000,"")</f>
        <v/>
      </c>
      <c r="U437" s="9" t="n">
        <f aca="false">IF(N(K437)&gt;0,N(L437),0)</f>
        <v>0</v>
      </c>
      <c r="V437" s="9" t="n">
        <f aca="false">IF(AND(N(K437)&gt;0,ISNUMBER(M437)),M437-Setup!$C$11,99999)</f>
        <v>99999</v>
      </c>
    </row>
    <row r="438" customFormat="false" ht="15" hidden="false" customHeight="false" outlineLevel="0" collapsed="false">
      <c r="A438" s="40" t="str">
        <f aca="false">IF(D438="","",ROW()-7)</f>
        <v/>
      </c>
      <c r="B438" s="79"/>
      <c r="C438" s="75"/>
      <c r="D438" s="76"/>
      <c r="E438" s="80"/>
      <c r="F438" s="79"/>
      <c r="G438" s="76"/>
      <c r="H438" s="54" t="str">
        <f aca="false">IF(OR(D438="",B438=""),"",IF(F438&lt;&gt;"",F438,B438+IFERROR(INDEX(Suppliers!$Q$7:$Q$106,MATCH(D438,Suppliers!$B$7:$B$106,0)),Setup!$C$7)))</f>
        <v/>
      </c>
      <c r="I438" s="46" t="str">
        <f aca="false">IF(OR(D438="",C438=""),IF(D438="","",0),SUMIFS(Payments!$D$8:$D$507,Payments!$C$8:$C$507,D438,Payments!$F$8:$F$507,C438))</f>
        <v/>
      </c>
      <c r="J438" s="46" t="str">
        <f aca="false">IF(D438="","",MIN(P438,MAX(0,R438-Q438)))</f>
        <v/>
      </c>
      <c r="K438" s="47" t="str">
        <f aca="false">IF(D438="","",P438-J438)</f>
        <v/>
      </c>
      <c r="L438" s="55" t="str">
        <f aca="false">IF(OR(D438="",N(K438)&lt;=0,H438=""),"",MAX(0,Setup!$C$11-H438))</f>
        <v/>
      </c>
      <c r="M438" s="54" t="str">
        <f aca="false">IF(OR(D438="",B438=""),"",IF(IFERROR(INDEX(Suppliers!$S$7:$S$106,MATCH(D438,Suppliers!$B$7:$B$106,0)),"")="","–",B438+IFERROR(INDEX(Suppliers!$S$7:$S$106,MATCH(D438,Suppliers!$B$7:$B$106,0)),"")))</f>
        <v/>
      </c>
      <c r="N438" s="56" t="str">
        <f aca="false">IF(D438="","",IF(N(K438)&lt;=0,"Paid",IF(AND(ISNUMBER(M438),Setup!$C$11&gt;M438),"⚠ MSME late",IF(N(L438)&gt;0,"Overdue",IF(N(V438)&lt;=Setup!$C$9,"⚠ MSME due soon",IF(K438&lt;E438,"Part paid","Not due"))))))</f>
        <v/>
      </c>
      <c r="O438" s="50" t="str">
        <f aca="false">IF(AND(D438="",B438="",C438="",E438=""),"",IF(D438="","⚠ Pick supplier",IF(ISNA(MATCH(D438,Suppliers!$B$7:$B$106,0)),"⚠ Supplier not in list",IF(B438="","⚠ Enter bill date",IF(N(E438)&lt;=0,"⚠ Enter amount",IF(AND(C438&lt;&gt;"",COUNTIFS($D$8:$D$507,D438,$C$8:$C$507,C438)&gt;1),"⚠ Bill no. used twice",IF(N(I438)&gt;N(E438),"⚠ Paid more than bill","✔")))))))</f>
        <v/>
      </c>
      <c r="P438" s="9" t="n">
        <f aca="false">IF(D438="",0,MAX(0,N(E438)-N(I438)))</f>
        <v>0</v>
      </c>
      <c r="Q438" s="9" t="n">
        <f aca="false">IF(D438="",0,SUMIFS($P$8:$P$507,$D$8:$D$507,D438,$B$8:$B$507,"&lt;"&amp;B438)+SUMIFS($P$8:P437,$D$8:D437,D438,$B$8:B437,B438))</f>
        <v>0</v>
      </c>
      <c r="R438" s="9" t="n">
        <f aca="false">IF(D438="",0,IFERROR(INDEX(Suppliers!$R$7:$R$106,MATCH(D438,Suppliers!$B$7:$B$106,0)),0))</f>
        <v>0</v>
      </c>
      <c r="S438" s="9" t="str">
        <f aca="false">IF(N(K438)&gt;0,IF(H438="",99999,MIN(H438,IF(ISNUMBER(M438),M438,H438)))+ROW()/100000,"")</f>
        <v/>
      </c>
      <c r="U438" s="9" t="n">
        <f aca="false">IF(N(K438)&gt;0,N(L438),0)</f>
        <v>0</v>
      </c>
      <c r="V438" s="9" t="n">
        <f aca="false">IF(AND(N(K438)&gt;0,ISNUMBER(M438)),M438-Setup!$C$11,99999)</f>
        <v>99999</v>
      </c>
    </row>
    <row r="439" customFormat="false" ht="15" hidden="false" customHeight="false" outlineLevel="0" collapsed="false">
      <c r="A439" s="40" t="str">
        <f aca="false">IF(D439="","",ROW()-7)</f>
        <v/>
      </c>
      <c r="B439" s="79"/>
      <c r="C439" s="75"/>
      <c r="D439" s="76"/>
      <c r="E439" s="80"/>
      <c r="F439" s="79"/>
      <c r="G439" s="76"/>
      <c r="H439" s="54" t="str">
        <f aca="false">IF(OR(D439="",B439=""),"",IF(F439&lt;&gt;"",F439,B439+IFERROR(INDEX(Suppliers!$Q$7:$Q$106,MATCH(D439,Suppliers!$B$7:$B$106,0)),Setup!$C$7)))</f>
        <v/>
      </c>
      <c r="I439" s="46" t="str">
        <f aca="false">IF(OR(D439="",C439=""),IF(D439="","",0),SUMIFS(Payments!$D$8:$D$507,Payments!$C$8:$C$507,D439,Payments!$F$8:$F$507,C439))</f>
        <v/>
      </c>
      <c r="J439" s="46" t="str">
        <f aca="false">IF(D439="","",MIN(P439,MAX(0,R439-Q439)))</f>
        <v/>
      </c>
      <c r="K439" s="47" t="str">
        <f aca="false">IF(D439="","",P439-J439)</f>
        <v/>
      </c>
      <c r="L439" s="55" t="str">
        <f aca="false">IF(OR(D439="",N(K439)&lt;=0,H439=""),"",MAX(0,Setup!$C$11-H439))</f>
        <v/>
      </c>
      <c r="M439" s="54" t="str">
        <f aca="false">IF(OR(D439="",B439=""),"",IF(IFERROR(INDEX(Suppliers!$S$7:$S$106,MATCH(D439,Suppliers!$B$7:$B$106,0)),"")="","–",B439+IFERROR(INDEX(Suppliers!$S$7:$S$106,MATCH(D439,Suppliers!$B$7:$B$106,0)),"")))</f>
        <v/>
      </c>
      <c r="N439" s="56" t="str">
        <f aca="false">IF(D439="","",IF(N(K439)&lt;=0,"Paid",IF(AND(ISNUMBER(M439),Setup!$C$11&gt;M439),"⚠ MSME late",IF(N(L439)&gt;0,"Overdue",IF(N(V439)&lt;=Setup!$C$9,"⚠ MSME due soon",IF(K439&lt;E439,"Part paid","Not due"))))))</f>
        <v/>
      </c>
      <c r="O439" s="50" t="str">
        <f aca="false">IF(AND(D439="",B439="",C439="",E439=""),"",IF(D439="","⚠ Pick supplier",IF(ISNA(MATCH(D439,Suppliers!$B$7:$B$106,0)),"⚠ Supplier not in list",IF(B439="","⚠ Enter bill date",IF(N(E439)&lt;=0,"⚠ Enter amount",IF(AND(C439&lt;&gt;"",COUNTIFS($D$8:$D$507,D439,$C$8:$C$507,C439)&gt;1),"⚠ Bill no. used twice",IF(N(I439)&gt;N(E439),"⚠ Paid more than bill","✔")))))))</f>
        <v/>
      </c>
      <c r="P439" s="9" t="n">
        <f aca="false">IF(D439="",0,MAX(0,N(E439)-N(I439)))</f>
        <v>0</v>
      </c>
      <c r="Q439" s="9" t="n">
        <f aca="false">IF(D439="",0,SUMIFS($P$8:$P$507,$D$8:$D$507,D439,$B$8:$B$507,"&lt;"&amp;B439)+SUMIFS($P$8:P438,$D$8:D438,D439,$B$8:B438,B439))</f>
        <v>0</v>
      </c>
      <c r="R439" s="9" t="n">
        <f aca="false">IF(D439="",0,IFERROR(INDEX(Suppliers!$R$7:$R$106,MATCH(D439,Suppliers!$B$7:$B$106,0)),0))</f>
        <v>0</v>
      </c>
      <c r="S439" s="9" t="str">
        <f aca="false">IF(N(K439)&gt;0,IF(H439="",99999,MIN(H439,IF(ISNUMBER(M439),M439,H439)))+ROW()/100000,"")</f>
        <v/>
      </c>
      <c r="U439" s="9" t="n">
        <f aca="false">IF(N(K439)&gt;0,N(L439),0)</f>
        <v>0</v>
      </c>
      <c r="V439" s="9" t="n">
        <f aca="false">IF(AND(N(K439)&gt;0,ISNUMBER(M439)),M439-Setup!$C$11,99999)</f>
        <v>99999</v>
      </c>
    </row>
    <row r="440" customFormat="false" ht="15" hidden="false" customHeight="false" outlineLevel="0" collapsed="false">
      <c r="A440" s="40" t="str">
        <f aca="false">IF(D440="","",ROW()-7)</f>
        <v/>
      </c>
      <c r="B440" s="79"/>
      <c r="C440" s="75"/>
      <c r="D440" s="76"/>
      <c r="E440" s="80"/>
      <c r="F440" s="79"/>
      <c r="G440" s="76"/>
      <c r="H440" s="54" t="str">
        <f aca="false">IF(OR(D440="",B440=""),"",IF(F440&lt;&gt;"",F440,B440+IFERROR(INDEX(Suppliers!$Q$7:$Q$106,MATCH(D440,Suppliers!$B$7:$B$106,0)),Setup!$C$7)))</f>
        <v/>
      </c>
      <c r="I440" s="46" t="str">
        <f aca="false">IF(OR(D440="",C440=""),IF(D440="","",0),SUMIFS(Payments!$D$8:$D$507,Payments!$C$8:$C$507,D440,Payments!$F$8:$F$507,C440))</f>
        <v/>
      </c>
      <c r="J440" s="46" t="str">
        <f aca="false">IF(D440="","",MIN(P440,MAX(0,R440-Q440)))</f>
        <v/>
      </c>
      <c r="K440" s="47" t="str">
        <f aca="false">IF(D440="","",P440-J440)</f>
        <v/>
      </c>
      <c r="L440" s="55" t="str">
        <f aca="false">IF(OR(D440="",N(K440)&lt;=0,H440=""),"",MAX(0,Setup!$C$11-H440))</f>
        <v/>
      </c>
      <c r="M440" s="54" t="str">
        <f aca="false">IF(OR(D440="",B440=""),"",IF(IFERROR(INDEX(Suppliers!$S$7:$S$106,MATCH(D440,Suppliers!$B$7:$B$106,0)),"")="","–",B440+IFERROR(INDEX(Suppliers!$S$7:$S$106,MATCH(D440,Suppliers!$B$7:$B$106,0)),"")))</f>
        <v/>
      </c>
      <c r="N440" s="56" t="str">
        <f aca="false">IF(D440="","",IF(N(K440)&lt;=0,"Paid",IF(AND(ISNUMBER(M440),Setup!$C$11&gt;M440),"⚠ MSME late",IF(N(L440)&gt;0,"Overdue",IF(N(V440)&lt;=Setup!$C$9,"⚠ MSME due soon",IF(K440&lt;E440,"Part paid","Not due"))))))</f>
        <v/>
      </c>
      <c r="O440" s="50" t="str">
        <f aca="false">IF(AND(D440="",B440="",C440="",E440=""),"",IF(D440="","⚠ Pick supplier",IF(ISNA(MATCH(D440,Suppliers!$B$7:$B$106,0)),"⚠ Supplier not in list",IF(B440="","⚠ Enter bill date",IF(N(E440)&lt;=0,"⚠ Enter amount",IF(AND(C440&lt;&gt;"",COUNTIFS($D$8:$D$507,D440,$C$8:$C$507,C440)&gt;1),"⚠ Bill no. used twice",IF(N(I440)&gt;N(E440),"⚠ Paid more than bill","✔")))))))</f>
        <v/>
      </c>
      <c r="P440" s="9" t="n">
        <f aca="false">IF(D440="",0,MAX(0,N(E440)-N(I440)))</f>
        <v>0</v>
      </c>
      <c r="Q440" s="9" t="n">
        <f aca="false">IF(D440="",0,SUMIFS($P$8:$P$507,$D$8:$D$507,D440,$B$8:$B$507,"&lt;"&amp;B440)+SUMIFS($P$8:P439,$D$8:D439,D440,$B$8:B439,B440))</f>
        <v>0</v>
      </c>
      <c r="R440" s="9" t="n">
        <f aca="false">IF(D440="",0,IFERROR(INDEX(Suppliers!$R$7:$R$106,MATCH(D440,Suppliers!$B$7:$B$106,0)),0))</f>
        <v>0</v>
      </c>
      <c r="S440" s="9" t="str">
        <f aca="false">IF(N(K440)&gt;0,IF(H440="",99999,MIN(H440,IF(ISNUMBER(M440),M440,H440)))+ROW()/100000,"")</f>
        <v/>
      </c>
      <c r="U440" s="9" t="n">
        <f aca="false">IF(N(K440)&gt;0,N(L440),0)</f>
        <v>0</v>
      </c>
      <c r="V440" s="9" t="n">
        <f aca="false">IF(AND(N(K440)&gt;0,ISNUMBER(M440)),M440-Setup!$C$11,99999)</f>
        <v>99999</v>
      </c>
    </row>
    <row r="441" customFormat="false" ht="15" hidden="false" customHeight="false" outlineLevel="0" collapsed="false">
      <c r="A441" s="40" t="str">
        <f aca="false">IF(D441="","",ROW()-7)</f>
        <v/>
      </c>
      <c r="B441" s="79"/>
      <c r="C441" s="75"/>
      <c r="D441" s="76"/>
      <c r="E441" s="80"/>
      <c r="F441" s="79"/>
      <c r="G441" s="76"/>
      <c r="H441" s="54" t="str">
        <f aca="false">IF(OR(D441="",B441=""),"",IF(F441&lt;&gt;"",F441,B441+IFERROR(INDEX(Suppliers!$Q$7:$Q$106,MATCH(D441,Suppliers!$B$7:$B$106,0)),Setup!$C$7)))</f>
        <v/>
      </c>
      <c r="I441" s="46" t="str">
        <f aca="false">IF(OR(D441="",C441=""),IF(D441="","",0),SUMIFS(Payments!$D$8:$D$507,Payments!$C$8:$C$507,D441,Payments!$F$8:$F$507,C441))</f>
        <v/>
      </c>
      <c r="J441" s="46" t="str">
        <f aca="false">IF(D441="","",MIN(P441,MAX(0,R441-Q441)))</f>
        <v/>
      </c>
      <c r="K441" s="47" t="str">
        <f aca="false">IF(D441="","",P441-J441)</f>
        <v/>
      </c>
      <c r="L441" s="55" t="str">
        <f aca="false">IF(OR(D441="",N(K441)&lt;=0,H441=""),"",MAX(0,Setup!$C$11-H441))</f>
        <v/>
      </c>
      <c r="M441" s="54" t="str">
        <f aca="false">IF(OR(D441="",B441=""),"",IF(IFERROR(INDEX(Suppliers!$S$7:$S$106,MATCH(D441,Suppliers!$B$7:$B$106,0)),"")="","–",B441+IFERROR(INDEX(Suppliers!$S$7:$S$106,MATCH(D441,Suppliers!$B$7:$B$106,0)),"")))</f>
        <v/>
      </c>
      <c r="N441" s="56" t="str">
        <f aca="false">IF(D441="","",IF(N(K441)&lt;=0,"Paid",IF(AND(ISNUMBER(M441),Setup!$C$11&gt;M441),"⚠ MSME late",IF(N(L441)&gt;0,"Overdue",IF(N(V441)&lt;=Setup!$C$9,"⚠ MSME due soon",IF(K441&lt;E441,"Part paid","Not due"))))))</f>
        <v/>
      </c>
      <c r="O441" s="50" t="str">
        <f aca="false">IF(AND(D441="",B441="",C441="",E441=""),"",IF(D441="","⚠ Pick supplier",IF(ISNA(MATCH(D441,Suppliers!$B$7:$B$106,0)),"⚠ Supplier not in list",IF(B441="","⚠ Enter bill date",IF(N(E441)&lt;=0,"⚠ Enter amount",IF(AND(C441&lt;&gt;"",COUNTIFS($D$8:$D$507,D441,$C$8:$C$507,C441)&gt;1),"⚠ Bill no. used twice",IF(N(I441)&gt;N(E441),"⚠ Paid more than bill","✔")))))))</f>
        <v/>
      </c>
      <c r="P441" s="9" t="n">
        <f aca="false">IF(D441="",0,MAX(0,N(E441)-N(I441)))</f>
        <v>0</v>
      </c>
      <c r="Q441" s="9" t="n">
        <f aca="false">IF(D441="",0,SUMIFS($P$8:$P$507,$D$8:$D$507,D441,$B$8:$B$507,"&lt;"&amp;B441)+SUMIFS($P$8:P440,$D$8:D440,D441,$B$8:B440,B441))</f>
        <v>0</v>
      </c>
      <c r="R441" s="9" t="n">
        <f aca="false">IF(D441="",0,IFERROR(INDEX(Suppliers!$R$7:$R$106,MATCH(D441,Suppliers!$B$7:$B$106,0)),0))</f>
        <v>0</v>
      </c>
      <c r="S441" s="9" t="str">
        <f aca="false">IF(N(K441)&gt;0,IF(H441="",99999,MIN(H441,IF(ISNUMBER(M441),M441,H441)))+ROW()/100000,"")</f>
        <v/>
      </c>
      <c r="U441" s="9" t="n">
        <f aca="false">IF(N(K441)&gt;0,N(L441),0)</f>
        <v>0</v>
      </c>
      <c r="V441" s="9" t="n">
        <f aca="false">IF(AND(N(K441)&gt;0,ISNUMBER(M441)),M441-Setup!$C$11,99999)</f>
        <v>99999</v>
      </c>
    </row>
    <row r="442" customFormat="false" ht="15" hidden="false" customHeight="false" outlineLevel="0" collapsed="false">
      <c r="A442" s="40" t="str">
        <f aca="false">IF(D442="","",ROW()-7)</f>
        <v/>
      </c>
      <c r="B442" s="79"/>
      <c r="C442" s="75"/>
      <c r="D442" s="76"/>
      <c r="E442" s="80"/>
      <c r="F442" s="79"/>
      <c r="G442" s="76"/>
      <c r="H442" s="54" t="str">
        <f aca="false">IF(OR(D442="",B442=""),"",IF(F442&lt;&gt;"",F442,B442+IFERROR(INDEX(Suppliers!$Q$7:$Q$106,MATCH(D442,Suppliers!$B$7:$B$106,0)),Setup!$C$7)))</f>
        <v/>
      </c>
      <c r="I442" s="46" t="str">
        <f aca="false">IF(OR(D442="",C442=""),IF(D442="","",0),SUMIFS(Payments!$D$8:$D$507,Payments!$C$8:$C$507,D442,Payments!$F$8:$F$507,C442))</f>
        <v/>
      </c>
      <c r="J442" s="46" t="str">
        <f aca="false">IF(D442="","",MIN(P442,MAX(0,R442-Q442)))</f>
        <v/>
      </c>
      <c r="K442" s="47" t="str">
        <f aca="false">IF(D442="","",P442-J442)</f>
        <v/>
      </c>
      <c r="L442" s="55" t="str">
        <f aca="false">IF(OR(D442="",N(K442)&lt;=0,H442=""),"",MAX(0,Setup!$C$11-H442))</f>
        <v/>
      </c>
      <c r="M442" s="54" t="str">
        <f aca="false">IF(OR(D442="",B442=""),"",IF(IFERROR(INDEX(Suppliers!$S$7:$S$106,MATCH(D442,Suppliers!$B$7:$B$106,0)),"")="","–",B442+IFERROR(INDEX(Suppliers!$S$7:$S$106,MATCH(D442,Suppliers!$B$7:$B$106,0)),"")))</f>
        <v/>
      </c>
      <c r="N442" s="56" t="str">
        <f aca="false">IF(D442="","",IF(N(K442)&lt;=0,"Paid",IF(AND(ISNUMBER(M442),Setup!$C$11&gt;M442),"⚠ MSME late",IF(N(L442)&gt;0,"Overdue",IF(N(V442)&lt;=Setup!$C$9,"⚠ MSME due soon",IF(K442&lt;E442,"Part paid","Not due"))))))</f>
        <v/>
      </c>
      <c r="O442" s="50" t="str">
        <f aca="false">IF(AND(D442="",B442="",C442="",E442=""),"",IF(D442="","⚠ Pick supplier",IF(ISNA(MATCH(D442,Suppliers!$B$7:$B$106,0)),"⚠ Supplier not in list",IF(B442="","⚠ Enter bill date",IF(N(E442)&lt;=0,"⚠ Enter amount",IF(AND(C442&lt;&gt;"",COUNTIFS($D$8:$D$507,D442,$C$8:$C$507,C442)&gt;1),"⚠ Bill no. used twice",IF(N(I442)&gt;N(E442),"⚠ Paid more than bill","✔")))))))</f>
        <v/>
      </c>
      <c r="P442" s="9" t="n">
        <f aca="false">IF(D442="",0,MAX(0,N(E442)-N(I442)))</f>
        <v>0</v>
      </c>
      <c r="Q442" s="9" t="n">
        <f aca="false">IF(D442="",0,SUMIFS($P$8:$P$507,$D$8:$D$507,D442,$B$8:$B$507,"&lt;"&amp;B442)+SUMIFS($P$8:P441,$D$8:D441,D442,$B$8:B441,B442))</f>
        <v>0</v>
      </c>
      <c r="R442" s="9" t="n">
        <f aca="false">IF(D442="",0,IFERROR(INDEX(Suppliers!$R$7:$R$106,MATCH(D442,Suppliers!$B$7:$B$106,0)),0))</f>
        <v>0</v>
      </c>
      <c r="S442" s="9" t="str">
        <f aca="false">IF(N(K442)&gt;0,IF(H442="",99999,MIN(H442,IF(ISNUMBER(M442),M442,H442)))+ROW()/100000,"")</f>
        <v/>
      </c>
      <c r="U442" s="9" t="n">
        <f aca="false">IF(N(K442)&gt;0,N(L442),0)</f>
        <v>0</v>
      </c>
      <c r="V442" s="9" t="n">
        <f aca="false">IF(AND(N(K442)&gt;0,ISNUMBER(M442)),M442-Setup!$C$11,99999)</f>
        <v>99999</v>
      </c>
    </row>
    <row r="443" customFormat="false" ht="15" hidden="false" customHeight="false" outlineLevel="0" collapsed="false">
      <c r="A443" s="40" t="str">
        <f aca="false">IF(D443="","",ROW()-7)</f>
        <v/>
      </c>
      <c r="B443" s="79"/>
      <c r="C443" s="75"/>
      <c r="D443" s="76"/>
      <c r="E443" s="80"/>
      <c r="F443" s="79"/>
      <c r="G443" s="76"/>
      <c r="H443" s="54" t="str">
        <f aca="false">IF(OR(D443="",B443=""),"",IF(F443&lt;&gt;"",F443,B443+IFERROR(INDEX(Suppliers!$Q$7:$Q$106,MATCH(D443,Suppliers!$B$7:$B$106,0)),Setup!$C$7)))</f>
        <v/>
      </c>
      <c r="I443" s="46" t="str">
        <f aca="false">IF(OR(D443="",C443=""),IF(D443="","",0),SUMIFS(Payments!$D$8:$D$507,Payments!$C$8:$C$507,D443,Payments!$F$8:$F$507,C443))</f>
        <v/>
      </c>
      <c r="J443" s="46" t="str">
        <f aca="false">IF(D443="","",MIN(P443,MAX(0,R443-Q443)))</f>
        <v/>
      </c>
      <c r="K443" s="47" t="str">
        <f aca="false">IF(D443="","",P443-J443)</f>
        <v/>
      </c>
      <c r="L443" s="55" t="str">
        <f aca="false">IF(OR(D443="",N(K443)&lt;=0,H443=""),"",MAX(0,Setup!$C$11-H443))</f>
        <v/>
      </c>
      <c r="M443" s="54" t="str">
        <f aca="false">IF(OR(D443="",B443=""),"",IF(IFERROR(INDEX(Suppliers!$S$7:$S$106,MATCH(D443,Suppliers!$B$7:$B$106,0)),"")="","–",B443+IFERROR(INDEX(Suppliers!$S$7:$S$106,MATCH(D443,Suppliers!$B$7:$B$106,0)),"")))</f>
        <v/>
      </c>
      <c r="N443" s="56" t="str">
        <f aca="false">IF(D443="","",IF(N(K443)&lt;=0,"Paid",IF(AND(ISNUMBER(M443),Setup!$C$11&gt;M443),"⚠ MSME late",IF(N(L443)&gt;0,"Overdue",IF(N(V443)&lt;=Setup!$C$9,"⚠ MSME due soon",IF(K443&lt;E443,"Part paid","Not due"))))))</f>
        <v/>
      </c>
      <c r="O443" s="50" t="str">
        <f aca="false">IF(AND(D443="",B443="",C443="",E443=""),"",IF(D443="","⚠ Pick supplier",IF(ISNA(MATCH(D443,Suppliers!$B$7:$B$106,0)),"⚠ Supplier not in list",IF(B443="","⚠ Enter bill date",IF(N(E443)&lt;=0,"⚠ Enter amount",IF(AND(C443&lt;&gt;"",COUNTIFS($D$8:$D$507,D443,$C$8:$C$507,C443)&gt;1),"⚠ Bill no. used twice",IF(N(I443)&gt;N(E443),"⚠ Paid more than bill","✔")))))))</f>
        <v/>
      </c>
      <c r="P443" s="9" t="n">
        <f aca="false">IF(D443="",0,MAX(0,N(E443)-N(I443)))</f>
        <v>0</v>
      </c>
      <c r="Q443" s="9" t="n">
        <f aca="false">IF(D443="",0,SUMIFS($P$8:$P$507,$D$8:$D$507,D443,$B$8:$B$507,"&lt;"&amp;B443)+SUMIFS($P$8:P442,$D$8:D442,D443,$B$8:B442,B443))</f>
        <v>0</v>
      </c>
      <c r="R443" s="9" t="n">
        <f aca="false">IF(D443="",0,IFERROR(INDEX(Suppliers!$R$7:$R$106,MATCH(D443,Suppliers!$B$7:$B$106,0)),0))</f>
        <v>0</v>
      </c>
      <c r="S443" s="9" t="str">
        <f aca="false">IF(N(K443)&gt;0,IF(H443="",99999,MIN(H443,IF(ISNUMBER(M443),M443,H443)))+ROW()/100000,"")</f>
        <v/>
      </c>
      <c r="U443" s="9" t="n">
        <f aca="false">IF(N(K443)&gt;0,N(L443),0)</f>
        <v>0</v>
      </c>
      <c r="V443" s="9" t="n">
        <f aca="false">IF(AND(N(K443)&gt;0,ISNUMBER(M443)),M443-Setup!$C$11,99999)</f>
        <v>99999</v>
      </c>
    </row>
    <row r="444" customFormat="false" ht="15" hidden="false" customHeight="false" outlineLevel="0" collapsed="false">
      <c r="A444" s="40" t="str">
        <f aca="false">IF(D444="","",ROW()-7)</f>
        <v/>
      </c>
      <c r="B444" s="79"/>
      <c r="C444" s="75"/>
      <c r="D444" s="76"/>
      <c r="E444" s="80"/>
      <c r="F444" s="79"/>
      <c r="G444" s="76"/>
      <c r="H444" s="54" t="str">
        <f aca="false">IF(OR(D444="",B444=""),"",IF(F444&lt;&gt;"",F444,B444+IFERROR(INDEX(Suppliers!$Q$7:$Q$106,MATCH(D444,Suppliers!$B$7:$B$106,0)),Setup!$C$7)))</f>
        <v/>
      </c>
      <c r="I444" s="46" t="str">
        <f aca="false">IF(OR(D444="",C444=""),IF(D444="","",0),SUMIFS(Payments!$D$8:$D$507,Payments!$C$8:$C$507,D444,Payments!$F$8:$F$507,C444))</f>
        <v/>
      </c>
      <c r="J444" s="46" t="str">
        <f aca="false">IF(D444="","",MIN(P444,MAX(0,R444-Q444)))</f>
        <v/>
      </c>
      <c r="K444" s="47" t="str">
        <f aca="false">IF(D444="","",P444-J444)</f>
        <v/>
      </c>
      <c r="L444" s="55" t="str">
        <f aca="false">IF(OR(D444="",N(K444)&lt;=0,H444=""),"",MAX(0,Setup!$C$11-H444))</f>
        <v/>
      </c>
      <c r="M444" s="54" t="str">
        <f aca="false">IF(OR(D444="",B444=""),"",IF(IFERROR(INDEX(Suppliers!$S$7:$S$106,MATCH(D444,Suppliers!$B$7:$B$106,0)),"")="","–",B444+IFERROR(INDEX(Suppliers!$S$7:$S$106,MATCH(D444,Suppliers!$B$7:$B$106,0)),"")))</f>
        <v/>
      </c>
      <c r="N444" s="56" t="str">
        <f aca="false">IF(D444="","",IF(N(K444)&lt;=0,"Paid",IF(AND(ISNUMBER(M444),Setup!$C$11&gt;M444),"⚠ MSME late",IF(N(L444)&gt;0,"Overdue",IF(N(V444)&lt;=Setup!$C$9,"⚠ MSME due soon",IF(K444&lt;E444,"Part paid","Not due"))))))</f>
        <v/>
      </c>
      <c r="O444" s="50" t="str">
        <f aca="false">IF(AND(D444="",B444="",C444="",E444=""),"",IF(D444="","⚠ Pick supplier",IF(ISNA(MATCH(D444,Suppliers!$B$7:$B$106,0)),"⚠ Supplier not in list",IF(B444="","⚠ Enter bill date",IF(N(E444)&lt;=0,"⚠ Enter amount",IF(AND(C444&lt;&gt;"",COUNTIFS($D$8:$D$507,D444,$C$8:$C$507,C444)&gt;1),"⚠ Bill no. used twice",IF(N(I444)&gt;N(E444),"⚠ Paid more than bill","✔")))))))</f>
        <v/>
      </c>
      <c r="P444" s="9" t="n">
        <f aca="false">IF(D444="",0,MAX(0,N(E444)-N(I444)))</f>
        <v>0</v>
      </c>
      <c r="Q444" s="9" t="n">
        <f aca="false">IF(D444="",0,SUMIFS($P$8:$P$507,$D$8:$D$507,D444,$B$8:$B$507,"&lt;"&amp;B444)+SUMIFS($P$8:P443,$D$8:D443,D444,$B$8:B443,B444))</f>
        <v>0</v>
      </c>
      <c r="R444" s="9" t="n">
        <f aca="false">IF(D444="",0,IFERROR(INDEX(Suppliers!$R$7:$R$106,MATCH(D444,Suppliers!$B$7:$B$106,0)),0))</f>
        <v>0</v>
      </c>
      <c r="S444" s="9" t="str">
        <f aca="false">IF(N(K444)&gt;0,IF(H444="",99999,MIN(H444,IF(ISNUMBER(M444),M444,H444)))+ROW()/100000,"")</f>
        <v/>
      </c>
      <c r="U444" s="9" t="n">
        <f aca="false">IF(N(K444)&gt;0,N(L444),0)</f>
        <v>0</v>
      </c>
      <c r="V444" s="9" t="n">
        <f aca="false">IF(AND(N(K444)&gt;0,ISNUMBER(M444)),M444-Setup!$C$11,99999)</f>
        <v>99999</v>
      </c>
    </row>
    <row r="445" customFormat="false" ht="15" hidden="false" customHeight="false" outlineLevel="0" collapsed="false">
      <c r="A445" s="40" t="str">
        <f aca="false">IF(D445="","",ROW()-7)</f>
        <v/>
      </c>
      <c r="B445" s="79"/>
      <c r="C445" s="75"/>
      <c r="D445" s="76"/>
      <c r="E445" s="80"/>
      <c r="F445" s="79"/>
      <c r="G445" s="76"/>
      <c r="H445" s="54" t="str">
        <f aca="false">IF(OR(D445="",B445=""),"",IF(F445&lt;&gt;"",F445,B445+IFERROR(INDEX(Suppliers!$Q$7:$Q$106,MATCH(D445,Suppliers!$B$7:$B$106,0)),Setup!$C$7)))</f>
        <v/>
      </c>
      <c r="I445" s="46" t="str">
        <f aca="false">IF(OR(D445="",C445=""),IF(D445="","",0),SUMIFS(Payments!$D$8:$D$507,Payments!$C$8:$C$507,D445,Payments!$F$8:$F$507,C445))</f>
        <v/>
      </c>
      <c r="J445" s="46" t="str">
        <f aca="false">IF(D445="","",MIN(P445,MAX(0,R445-Q445)))</f>
        <v/>
      </c>
      <c r="K445" s="47" t="str">
        <f aca="false">IF(D445="","",P445-J445)</f>
        <v/>
      </c>
      <c r="L445" s="55" t="str">
        <f aca="false">IF(OR(D445="",N(K445)&lt;=0,H445=""),"",MAX(0,Setup!$C$11-H445))</f>
        <v/>
      </c>
      <c r="M445" s="54" t="str">
        <f aca="false">IF(OR(D445="",B445=""),"",IF(IFERROR(INDEX(Suppliers!$S$7:$S$106,MATCH(D445,Suppliers!$B$7:$B$106,0)),"")="","–",B445+IFERROR(INDEX(Suppliers!$S$7:$S$106,MATCH(D445,Suppliers!$B$7:$B$106,0)),"")))</f>
        <v/>
      </c>
      <c r="N445" s="56" t="str">
        <f aca="false">IF(D445="","",IF(N(K445)&lt;=0,"Paid",IF(AND(ISNUMBER(M445),Setup!$C$11&gt;M445),"⚠ MSME late",IF(N(L445)&gt;0,"Overdue",IF(N(V445)&lt;=Setup!$C$9,"⚠ MSME due soon",IF(K445&lt;E445,"Part paid","Not due"))))))</f>
        <v/>
      </c>
      <c r="O445" s="50" t="str">
        <f aca="false">IF(AND(D445="",B445="",C445="",E445=""),"",IF(D445="","⚠ Pick supplier",IF(ISNA(MATCH(D445,Suppliers!$B$7:$B$106,0)),"⚠ Supplier not in list",IF(B445="","⚠ Enter bill date",IF(N(E445)&lt;=0,"⚠ Enter amount",IF(AND(C445&lt;&gt;"",COUNTIFS($D$8:$D$507,D445,$C$8:$C$507,C445)&gt;1),"⚠ Bill no. used twice",IF(N(I445)&gt;N(E445),"⚠ Paid more than bill","✔")))))))</f>
        <v/>
      </c>
      <c r="P445" s="9" t="n">
        <f aca="false">IF(D445="",0,MAX(0,N(E445)-N(I445)))</f>
        <v>0</v>
      </c>
      <c r="Q445" s="9" t="n">
        <f aca="false">IF(D445="",0,SUMIFS($P$8:$P$507,$D$8:$D$507,D445,$B$8:$B$507,"&lt;"&amp;B445)+SUMIFS($P$8:P444,$D$8:D444,D445,$B$8:B444,B445))</f>
        <v>0</v>
      </c>
      <c r="R445" s="9" t="n">
        <f aca="false">IF(D445="",0,IFERROR(INDEX(Suppliers!$R$7:$R$106,MATCH(D445,Suppliers!$B$7:$B$106,0)),0))</f>
        <v>0</v>
      </c>
      <c r="S445" s="9" t="str">
        <f aca="false">IF(N(K445)&gt;0,IF(H445="",99999,MIN(H445,IF(ISNUMBER(M445),M445,H445)))+ROW()/100000,"")</f>
        <v/>
      </c>
      <c r="U445" s="9" t="n">
        <f aca="false">IF(N(K445)&gt;0,N(L445),0)</f>
        <v>0</v>
      </c>
      <c r="V445" s="9" t="n">
        <f aca="false">IF(AND(N(K445)&gt;0,ISNUMBER(M445)),M445-Setup!$C$11,99999)</f>
        <v>99999</v>
      </c>
    </row>
    <row r="446" customFormat="false" ht="15" hidden="false" customHeight="false" outlineLevel="0" collapsed="false">
      <c r="A446" s="40" t="str">
        <f aca="false">IF(D446="","",ROW()-7)</f>
        <v/>
      </c>
      <c r="B446" s="79"/>
      <c r="C446" s="75"/>
      <c r="D446" s="76"/>
      <c r="E446" s="80"/>
      <c r="F446" s="79"/>
      <c r="G446" s="76"/>
      <c r="H446" s="54" t="str">
        <f aca="false">IF(OR(D446="",B446=""),"",IF(F446&lt;&gt;"",F446,B446+IFERROR(INDEX(Suppliers!$Q$7:$Q$106,MATCH(D446,Suppliers!$B$7:$B$106,0)),Setup!$C$7)))</f>
        <v/>
      </c>
      <c r="I446" s="46" t="str">
        <f aca="false">IF(OR(D446="",C446=""),IF(D446="","",0),SUMIFS(Payments!$D$8:$D$507,Payments!$C$8:$C$507,D446,Payments!$F$8:$F$507,C446))</f>
        <v/>
      </c>
      <c r="J446" s="46" t="str">
        <f aca="false">IF(D446="","",MIN(P446,MAX(0,R446-Q446)))</f>
        <v/>
      </c>
      <c r="K446" s="47" t="str">
        <f aca="false">IF(D446="","",P446-J446)</f>
        <v/>
      </c>
      <c r="L446" s="55" t="str">
        <f aca="false">IF(OR(D446="",N(K446)&lt;=0,H446=""),"",MAX(0,Setup!$C$11-H446))</f>
        <v/>
      </c>
      <c r="M446" s="54" t="str">
        <f aca="false">IF(OR(D446="",B446=""),"",IF(IFERROR(INDEX(Suppliers!$S$7:$S$106,MATCH(D446,Suppliers!$B$7:$B$106,0)),"")="","–",B446+IFERROR(INDEX(Suppliers!$S$7:$S$106,MATCH(D446,Suppliers!$B$7:$B$106,0)),"")))</f>
        <v/>
      </c>
      <c r="N446" s="56" t="str">
        <f aca="false">IF(D446="","",IF(N(K446)&lt;=0,"Paid",IF(AND(ISNUMBER(M446),Setup!$C$11&gt;M446),"⚠ MSME late",IF(N(L446)&gt;0,"Overdue",IF(N(V446)&lt;=Setup!$C$9,"⚠ MSME due soon",IF(K446&lt;E446,"Part paid","Not due"))))))</f>
        <v/>
      </c>
      <c r="O446" s="50" t="str">
        <f aca="false">IF(AND(D446="",B446="",C446="",E446=""),"",IF(D446="","⚠ Pick supplier",IF(ISNA(MATCH(D446,Suppliers!$B$7:$B$106,0)),"⚠ Supplier not in list",IF(B446="","⚠ Enter bill date",IF(N(E446)&lt;=0,"⚠ Enter amount",IF(AND(C446&lt;&gt;"",COUNTIFS($D$8:$D$507,D446,$C$8:$C$507,C446)&gt;1),"⚠ Bill no. used twice",IF(N(I446)&gt;N(E446),"⚠ Paid more than bill","✔")))))))</f>
        <v/>
      </c>
      <c r="P446" s="9" t="n">
        <f aca="false">IF(D446="",0,MAX(0,N(E446)-N(I446)))</f>
        <v>0</v>
      </c>
      <c r="Q446" s="9" t="n">
        <f aca="false">IF(D446="",0,SUMIFS($P$8:$P$507,$D$8:$D$507,D446,$B$8:$B$507,"&lt;"&amp;B446)+SUMIFS($P$8:P445,$D$8:D445,D446,$B$8:B445,B446))</f>
        <v>0</v>
      </c>
      <c r="R446" s="9" t="n">
        <f aca="false">IF(D446="",0,IFERROR(INDEX(Suppliers!$R$7:$R$106,MATCH(D446,Suppliers!$B$7:$B$106,0)),0))</f>
        <v>0</v>
      </c>
      <c r="S446" s="9" t="str">
        <f aca="false">IF(N(K446)&gt;0,IF(H446="",99999,MIN(H446,IF(ISNUMBER(M446),M446,H446)))+ROW()/100000,"")</f>
        <v/>
      </c>
      <c r="U446" s="9" t="n">
        <f aca="false">IF(N(K446)&gt;0,N(L446),0)</f>
        <v>0</v>
      </c>
      <c r="V446" s="9" t="n">
        <f aca="false">IF(AND(N(K446)&gt;0,ISNUMBER(M446)),M446-Setup!$C$11,99999)</f>
        <v>99999</v>
      </c>
    </row>
    <row r="447" customFormat="false" ht="15" hidden="false" customHeight="false" outlineLevel="0" collapsed="false">
      <c r="A447" s="40" t="str">
        <f aca="false">IF(D447="","",ROW()-7)</f>
        <v/>
      </c>
      <c r="B447" s="79"/>
      <c r="C447" s="75"/>
      <c r="D447" s="76"/>
      <c r="E447" s="80"/>
      <c r="F447" s="79"/>
      <c r="G447" s="76"/>
      <c r="H447" s="54" t="str">
        <f aca="false">IF(OR(D447="",B447=""),"",IF(F447&lt;&gt;"",F447,B447+IFERROR(INDEX(Suppliers!$Q$7:$Q$106,MATCH(D447,Suppliers!$B$7:$B$106,0)),Setup!$C$7)))</f>
        <v/>
      </c>
      <c r="I447" s="46" t="str">
        <f aca="false">IF(OR(D447="",C447=""),IF(D447="","",0),SUMIFS(Payments!$D$8:$D$507,Payments!$C$8:$C$507,D447,Payments!$F$8:$F$507,C447))</f>
        <v/>
      </c>
      <c r="J447" s="46" t="str">
        <f aca="false">IF(D447="","",MIN(P447,MAX(0,R447-Q447)))</f>
        <v/>
      </c>
      <c r="K447" s="47" t="str">
        <f aca="false">IF(D447="","",P447-J447)</f>
        <v/>
      </c>
      <c r="L447" s="55" t="str">
        <f aca="false">IF(OR(D447="",N(K447)&lt;=0,H447=""),"",MAX(0,Setup!$C$11-H447))</f>
        <v/>
      </c>
      <c r="M447" s="54" t="str">
        <f aca="false">IF(OR(D447="",B447=""),"",IF(IFERROR(INDEX(Suppliers!$S$7:$S$106,MATCH(D447,Suppliers!$B$7:$B$106,0)),"")="","–",B447+IFERROR(INDEX(Suppliers!$S$7:$S$106,MATCH(D447,Suppliers!$B$7:$B$106,0)),"")))</f>
        <v/>
      </c>
      <c r="N447" s="56" t="str">
        <f aca="false">IF(D447="","",IF(N(K447)&lt;=0,"Paid",IF(AND(ISNUMBER(M447),Setup!$C$11&gt;M447),"⚠ MSME late",IF(N(L447)&gt;0,"Overdue",IF(N(V447)&lt;=Setup!$C$9,"⚠ MSME due soon",IF(K447&lt;E447,"Part paid","Not due"))))))</f>
        <v/>
      </c>
      <c r="O447" s="50" t="str">
        <f aca="false">IF(AND(D447="",B447="",C447="",E447=""),"",IF(D447="","⚠ Pick supplier",IF(ISNA(MATCH(D447,Suppliers!$B$7:$B$106,0)),"⚠ Supplier not in list",IF(B447="","⚠ Enter bill date",IF(N(E447)&lt;=0,"⚠ Enter amount",IF(AND(C447&lt;&gt;"",COUNTIFS($D$8:$D$507,D447,$C$8:$C$507,C447)&gt;1),"⚠ Bill no. used twice",IF(N(I447)&gt;N(E447),"⚠ Paid more than bill","✔")))))))</f>
        <v/>
      </c>
      <c r="P447" s="9" t="n">
        <f aca="false">IF(D447="",0,MAX(0,N(E447)-N(I447)))</f>
        <v>0</v>
      </c>
      <c r="Q447" s="9" t="n">
        <f aca="false">IF(D447="",0,SUMIFS($P$8:$P$507,$D$8:$D$507,D447,$B$8:$B$507,"&lt;"&amp;B447)+SUMIFS($P$8:P446,$D$8:D446,D447,$B$8:B446,B447))</f>
        <v>0</v>
      </c>
      <c r="R447" s="9" t="n">
        <f aca="false">IF(D447="",0,IFERROR(INDEX(Suppliers!$R$7:$R$106,MATCH(D447,Suppliers!$B$7:$B$106,0)),0))</f>
        <v>0</v>
      </c>
      <c r="S447" s="9" t="str">
        <f aca="false">IF(N(K447)&gt;0,IF(H447="",99999,MIN(H447,IF(ISNUMBER(M447),M447,H447)))+ROW()/100000,"")</f>
        <v/>
      </c>
      <c r="U447" s="9" t="n">
        <f aca="false">IF(N(K447)&gt;0,N(L447),0)</f>
        <v>0</v>
      </c>
      <c r="V447" s="9" t="n">
        <f aca="false">IF(AND(N(K447)&gt;0,ISNUMBER(M447)),M447-Setup!$C$11,99999)</f>
        <v>99999</v>
      </c>
    </row>
    <row r="448" customFormat="false" ht="15" hidden="false" customHeight="false" outlineLevel="0" collapsed="false">
      <c r="A448" s="40" t="str">
        <f aca="false">IF(D448="","",ROW()-7)</f>
        <v/>
      </c>
      <c r="B448" s="79"/>
      <c r="C448" s="75"/>
      <c r="D448" s="76"/>
      <c r="E448" s="80"/>
      <c r="F448" s="79"/>
      <c r="G448" s="76"/>
      <c r="H448" s="54" t="str">
        <f aca="false">IF(OR(D448="",B448=""),"",IF(F448&lt;&gt;"",F448,B448+IFERROR(INDEX(Suppliers!$Q$7:$Q$106,MATCH(D448,Suppliers!$B$7:$B$106,0)),Setup!$C$7)))</f>
        <v/>
      </c>
      <c r="I448" s="46" t="str">
        <f aca="false">IF(OR(D448="",C448=""),IF(D448="","",0),SUMIFS(Payments!$D$8:$D$507,Payments!$C$8:$C$507,D448,Payments!$F$8:$F$507,C448))</f>
        <v/>
      </c>
      <c r="J448" s="46" t="str">
        <f aca="false">IF(D448="","",MIN(P448,MAX(0,R448-Q448)))</f>
        <v/>
      </c>
      <c r="K448" s="47" t="str">
        <f aca="false">IF(D448="","",P448-J448)</f>
        <v/>
      </c>
      <c r="L448" s="55" t="str">
        <f aca="false">IF(OR(D448="",N(K448)&lt;=0,H448=""),"",MAX(0,Setup!$C$11-H448))</f>
        <v/>
      </c>
      <c r="M448" s="54" t="str">
        <f aca="false">IF(OR(D448="",B448=""),"",IF(IFERROR(INDEX(Suppliers!$S$7:$S$106,MATCH(D448,Suppliers!$B$7:$B$106,0)),"")="","–",B448+IFERROR(INDEX(Suppliers!$S$7:$S$106,MATCH(D448,Suppliers!$B$7:$B$106,0)),"")))</f>
        <v/>
      </c>
      <c r="N448" s="56" t="str">
        <f aca="false">IF(D448="","",IF(N(K448)&lt;=0,"Paid",IF(AND(ISNUMBER(M448),Setup!$C$11&gt;M448),"⚠ MSME late",IF(N(L448)&gt;0,"Overdue",IF(N(V448)&lt;=Setup!$C$9,"⚠ MSME due soon",IF(K448&lt;E448,"Part paid","Not due"))))))</f>
        <v/>
      </c>
      <c r="O448" s="50" t="str">
        <f aca="false">IF(AND(D448="",B448="",C448="",E448=""),"",IF(D448="","⚠ Pick supplier",IF(ISNA(MATCH(D448,Suppliers!$B$7:$B$106,0)),"⚠ Supplier not in list",IF(B448="","⚠ Enter bill date",IF(N(E448)&lt;=0,"⚠ Enter amount",IF(AND(C448&lt;&gt;"",COUNTIFS($D$8:$D$507,D448,$C$8:$C$507,C448)&gt;1),"⚠ Bill no. used twice",IF(N(I448)&gt;N(E448),"⚠ Paid more than bill","✔")))))))</f>
        <v/>
      </c>
      <c r="P448" s="9" t="n">
        <f aca="false">IF(D448="",0,MAX(0,N(E448)-N(I448)))</f>
        <v>0</v>
      </c>
      <c r="Q448" s="9" t="n">
        <f aca="false">IF(D448="",0,SUMIFS($P$8:$P$507,$D$8:$D$507,D448,$B$8:$B$507,"&lt;"&amp;B448)+SUMIFS($P$8:P447,$D$8:D447,D448,$B$8:B447,B448))</f>
        <v>0</v>
      </c>
      <c r="R448" s="9" t="n">
        <f aca="false">IF(D448="",0,IFERROR(INDEX(Suppliers!$R$7:$R$106,MATCH(D448,Suppliers!$B$7:$B$106,0)),0))</f>
        <v>0</v>
      </c>
      <c r="S448" s="9" t="str">
        <f aca="false">IF(N(K448)&gt;0,IF(H448="",99999,MIN(H448,IF(ISNUMBER(M448),M448,H448)))+ROW()/100000,"")</f>
        <v/>
      </c>
      <c r="U448" s="9" t="n">
        <f aca="false">IF(N(K448)&gt;0,N(L448),0)</f>
        <v>0</v>
      </c>
      <c r="V448" s="9" t="n">
        <f aca="false">IF(AND(N(K448)&gt;0,ISNUMBER(M448)),M448-Setup!$C$11,99999)</f>
        <v>99999</v>
      </c>
    </row>
    <row r="449" customFormat="false" ht="15" hidden="false" customHeight="false" outlineLevel="0" collapsed="false">
      <c r="A449" s="40" t="str">
        <f aca="false">IF(D449="","",ROW()-7)</f>
        <v/>
      </c>
      <c r="B449" s="79"/>
      <c r="C449" s="75"/>
      <c r="D449" s="76"/>
      <c r="E449" s="80"/>
      <c r="F449" s="79"/>
      <c r="G449" s="76"/>
      <c r="H449" s="54" t="str">
        <f aca="false">IF(OR(D449="",B449=""),"",IF(F449&lt;&gt;"",F449,B449+IFERROR(INDEX(Suppliers!$Q$7:$Q$106,MATCH(D449,Suppliers!$B$7:$B$106,0)),Setup!$C$7)))</f>
        <v/>
      </c>
      <c r="I449" s="46" t="str">
        <f aca="false">IF(OR(D449="",C449=""),IF(D449="","",0),SUMIFS(Payments!$D$8:$D$507,Payments!$C$8:$C$507,D449,Payments!$F$8:$F$507,C449))</f>
        <v/>
      </c>
      <c r="J449" s="46" t="str">
        <f aca="false">IF(D449="","",MIN(P449,MAX(0,R449-Q449)))</f>
        <v/>
      </c>
      <c r="K449" s="47" t="str">
        <f aca="false">IF(D449="","",P449-J449)</f>
        <v/>
      </c>
      <c r="L449" s="55" t="str">
        <f aca="false">IF(OR(D449="",N(K449)&lt;=0,H449=""),"",MAX(0,Setup!$C$11-H449))</f>
        <v/>
      </c>
      <c r="M449" s="54" t="str">
        <f aca="false">IF(OR(D449="",B449=""),"",IF(IFERROR(INDEX(Suppliers!$S$7:$S$106,MATCH(D449,Suppliers!$B$7:$B$106,0)),"")="","–",B449+IFERROR(INDEX(Suppliers!$S$7:$S$106,MATCH(D449,Suppliers!$B$7:$B$106,0)),"")))</f>
        <v/>
      </c>
      <c r="N449" s="56" t="str">
        <f aca="false">IF(D449="","",IF(N(K449)&lt;=0,"Paid",IF(AND(ISNUMBER(M449),Setup!$C$11&gt;M449),"⚠ MSME late",IF(N(L449)&gt;0,"Overdue",IF(N(V449)&lt;=Setup!$C$9,"⚠ MSME due soon",IF(K449&lt;E449,"Part paid","Not due"))))))</f>
        <v/>
      </c>
      <c r="O449" s="50" t="str">
        <f aca="false">IF(AND(D449="",B449="",C449="",E449=""),"",IF(D449="","⚠ Pick supplier",IF(ISNA(MATCH(D449,Suppliers!$B$7:$B$106,0)),"⚠ Supplier not in list",IF(B449="","⚠ Enter bill date",IF(N(E449)&lt;=0,"⚠ Enter amount",IF(AND(C449&lt;&gt;"",COUNTIFS($D$8:$D$507,D449,$C$8:$C$507,C449)&gt;1),"⚠ Bill no. used twice",IF(N(I449)&gt;N(E449),"⚠ Paid more than bill","✔")))))))</f>
        <v/>
      </c>
      <c r="P449" s="9" t="n">
        <f aca="false">IF(D449="",0,MAX(0,N(E449)-N(I449)))</f>
        <v>0</v>
      </c>
      <c r="Q449" s="9" t="n">
        <f aca="false">IF(D449="",0,SUMIFS($P$8:$P$507,$D$8:$D$507,D449,$B$8:$B$507,"&lt;"&amp;B449)+SUMIFS($P$8:P448,$D$8:D448,D449,$B$8:B448,B449))</f>
        <v>0</v>
      </c>
      <c r="R449" s="9" t="n">
        <f aca="false">IF(D449="",0,IFERROR(INDEX(Suppliers!$R$7:$R$106,MATCH(D449,Suppliers!$B$7:$B$106,0)),0))</f>
        <v>0</v>
      </c>
      <c r="S449" s="9" t="str">
        <f aca="false">IF(N(K449)&gt;0,IF(H449="",99999,MIN(H449,IF(ISNUMBER(M449),M449,H449)))+ROW()/100000,"")</f>
        <v/>
      </c>
      <c r="U449" s="9" t="n">
        <f aca="false">IF(N(K449)&gt;0,N(L449),0)</f>
        <v>0</v>
      </c>
      <c r="V449" s="9" t="n">
        <f aca="false">IF(AND(N(K449)&gt;0,ISNUMBER(M449)),M449-Setup!$C$11,99999)</f>
        <v>99999</v>
      </c>
    </row>
    <row r="450" customFormat="false" ht="15" hidden="false" customHeight="false" outlineLevel="0" collapsed="false">
      <c r="A450" s="40" t="str">
        <f aca="false">IF(D450="","",ROW()-7)</f>
        <v/>
      </c>
      <c r="B450" s="79"/>
      <c r="C450" s="75"/>
      <c r="D450" s="76"/>
      <c r="E450" s="80"/>
      <c r="F450" s="79"/>
      <c r="G450" s="76"/>
      <c r="H450" s="54" t="str">
        <f aca="false">IF(OR(D450="",B450=""),"",IF(F450&lt;&gt;"",F450,B450+IFERROR(INDEX(Suppliers!$Q$7:$Q$106,MATCH(D450,Suppliers!$B$7:$B$106,0)),Setup!$C$7)))</f>
        <v/>
      </c>
      <c r="I450" s="46" t="str">
        <f aca="false">IF(OR(D450="",C450=""),IF(D450="","",0),SUMIFS(Payments!$D$8:$D$507,Payments!$C$8:$C$507,D450,Payments!$F$8:$F$507,C450))</f>
        <v/>
      </c>
      <c r="J450" s="46" t="str">
        <f aca="false">IF(D450="","",MIN(P450,MAX(0,R450-Q450)))</f>
        <v/>
      </c>
      <c r="K450" s="47" t="str">
        <f aca="false">IF(D450="","",P450-J450)</f>
        <v/>
      </c>
      <c r="L450" s="55" t="str">
        <f aca="false">IF(OR(D450="",N(K450)&lt;=0,H450=""),"",MAX(0,Setup!$C$11-H450))</f>
        <v/>
      </c>
      <c r="M450" s="54" t="str">
        <f aca="false">IF(OR(D450="",B450=""),"",IF(IFERROR(INDEX(Suppliers!$S$7:$S$106,MATCH(D450,Suppliers!$B$7:$B$106,0)),"")="","–",B450+IFERROR(INDEX(Suppliers!$S$7:$S$106,MATCH(D450,Suppliers!$B$7:$B$106,0)),"")))</f>
        <v/>
      </c>
      <c r="N450" s="56" t="str">
        <f aca="false">IF(D450="","",IF(N(K450)&lt;=0,"Paid",IF(AND(ISNUMBER(M450),Setup!$C$11&gt;M450),"⚠ MSME late",IF(N(L450)&gt;0,"Overdue",IF(N(V450)&lt;=Setup!$C$9,"⚠ MSME due soon",IF(K450&lt;E450,"Part paid","Not due"))))))</f>
        <v/>
      </c>
      <c r="O450" s="50" t="str">
        <f aca="false">IF(AND(D450="",B450="",C450="",E450=""),"",IF(D450="","⚠ Pick supplier",IF(ISNA(MATCH(D450,Suppliers!$B$7:$B$106,0)),"⚠ Supplier not in list",IF(B450="","⚠ Enter bill date",IF(N(E450)&lt;=0,"⚠ Enter amount",IF(AND(C450&lt;&gt;"",COUNTIFS($D$8:$D$507,D450,$C$8:$C$507,C450)&gt;1),"⚠ Bill no. used twice",IF(N(I450)&gt;N(E450),"⚠ Paid more than bill","✔")))))))</f>
        <v/>
      </c>
      <c r="P450" s="9" t="n">
        <f aca="false">IF(D450="",0,MAX(0,N(E450)-N(I450)))</f>
        <v>0</v>
      </c>
      <c r="Q450" s="9" t="n">
        <f aca="false">IF(D450="",0,SUMIFS($P$8:$P$507,$D$8:$D$507,D450,$B$8:$B$507,"&lt;"&amp;B450)+SUMIFS($P$8:P449,$D$8:D449,D450,$B$8:B449,B450))</f>
        <v>0</v>
      </c>
      <c r="R450" s="9" t="n">
        <f aca="false">IF(D450="",0,IFERROR(INDEX(Suppliers!$R$7:$R$106,MATCH(D450,Suppliers!$B$7:$B$106,0)),0))</f>
        <v>0</v>
      </c>
      <c r="S450" s="9" t="str">
        <f aca="false">IF(N(K450)&gt;0,IF(H450="",99999,MIN(H450,IF(ISNUMBER(M450),M450,H450)))+ROW()/100000,"")</f>
        <v/>
      </c>
      <c r="U450" s="9" t="n">
        <f aca="false">IF(N(K450)&gt;0,N(L450),0)</f>
        <v>0</v>
      </c>
      <c r="V450" s="9" t="n">
        <f aca="false">IF(AND(N(K450)&gt;0,ISNUMBER(M450)),M450-Setup!$C$11,99999)</f>
        <v>99999</v>
      </c>
    </row>
    <row r="451" customFormat="false" ht="15" hidden="false" customHeight="false" outlineLevel="0" collapsed="false">
      <c r="A451" s="40" t="str">
        <f aca="false">IF(D451="","",ROW()-7)</f>
        <v/>
      </c>
      <c r="B451" s="79"/>
      <c r="C451" s="75"/>
      <c r="D451" s="76"/>
      <c r="E451" s="80"/>
      <c r="F451" s="79"/>
      <c r="G451" s="76"/>
      <c r="H451" s="54" t="str">
        <f aca="false">IF(OR(D451="",B451=""),"",IF(F451&lt;&gt;"",F451,B451+IFERROR(INDEX(Suppliers!$Q$7:$Q$106,MATCH(D451,Suppliers!$B$7:$B$106,0)),Setup!$C$7)))</f>
        <v/>
      </c>
      <c r="I451" s="46" t="str">
        <f aca="false">IF(OR(D451="",C451=""),IF(D451="","",0),SUMIFS(Payments!$D$8:$D$507,Payments!$C$8:$C$507,D451,Payments!$F$8:$F$507,C451))</f>
        <v/>
      </c>
      <c r="J451" s="46" t="str">
        <f aca="false">IF(D451="","",MIN(P451,MAX(0,R451-Q451)))</f>
        <v/>
      </c>
      <c r="K451" s="47" t="str">
        <f aca="false">IF(D451="","",P451-J451)</f>
        <v/>
      </c>
      <c r="L451" s="55" t="str">
        <f aca="false">IF(OR(D451="",N(K451)&lt;=0,H451=""),"",MAX(0,Setup!$C$11-H451))</f>
        <v/>
      </c>
      <c r="M451" s="54" t="str">
        <f aca="false">IF(OR(D451="",B451=""),"",IF(IFERROR(INDEX(Suppliers!$S$7:$S$106,MATCH(D451,Suppliers!$B$7:$B$106,0)),"")="","–",B451+IFERROR(INDEX(Suppliers!$S$7:$S$106,MATCH(D451,Suppliers!$B$7:$B$106,0)),"")))</f>
        <v/>
      </c>
      <c r="N451" s="56" t="str">
        <f aca="false">IF(D451="","",IF(N(K451)&lt;=0,"Paid",IF(AND(ISNUMBER(M451),Setup!$C$11&gt;M451),"⚠ MSME late",IF(N(L451)&gt;0,"Overdue",IF(N(V451)&lt;=Setup!$C$9,"⚠ MSME due soon",IF(K451&lt;E451,"Part paid","Not due"))))))</f>
        <v/>
      </c>
      <c r="O451" s="50" t="str">
        <f aca="false">IF(AND(D451="",B451="",C451="",E451=""),"",IF(D451="","⚠ Pick supplier",IF(ISNA(MATCH(D451,Suppliers!$B$7:$B$106,0)),"⚠ Supplier not in list",IF(B451="","⚠ Enter bill date",IF(N(E451)&lt;=0,"⚠ Enter amount",IF(AND(C451&lt;&gt;"",COUNTIFS($D$8:$D$507,D451,$C$8:$C$507,C451)&gt;1),"⚠ Bill no. used twice",IF(N(I451)&gt;N(E451),"⚠ Paid more than bill","✔")))))))</f>
        <v/>
      </c>
      <c r="P451" s="9" t="n">
        <f aca="false">IF(D451="",0,MAX(0,N(E451)-N(I451)))</f>
        <v>0</v>
      </c>
      <c r="Q451" s="9" t="n">
        <f aca="false">IF(D451="",0,SUMIFS($P$8:$P$507,$D$8:$D$507,D451,$B$8:$B$507,"&lt;"&amp;B451)+SUMIFS($P$8:P450,$D$8:D450,D451,$B$8:B450,B451))</f>
        <v>0</v>
      </c>
      <c r="R451" s="9" t="n">
        <f aca="false">IF(D451="",0,IFERROR(INDEX(Suppliers!$R$7:$R$106,MATCH(D451,Suppliers!$B$7:$B$106,0)),0))</f>
        <v>0</v>
      </c>
      <c r="S451" s="9" t="str">
        <f aca="false">IF(N(K451)&gt;0,IF(H451="",99999,MIN(H451,IF(ISNUMBER(M451),M451,H451)))+ROW()/100000,"")</f>
        <v/>
      </c>
      <c r="U451" s="9" t="n">
        <f aca="false">IF(N(K451)&gt;0,N(L451),0)</f>
        <v>0</v>
      </c>
      <c r="V451" s="9" t="n">
        <f aca="false">IF(AND(N(K451)&gt;0,ISNUMBER(M451)),M451-Setup!$C$11,99999)</f>
        <v>99999</v>
      </c>
    </row>
    <row r="452" customFormat="false" ht="15" hidden="false" customHeight="false" outlineLevel="0" collapsed="false">
      <c r="A452" s="40" t="str">
        <f aca="false">IF(D452="","",ROW()-7)</f>
        <v/>
      </c>
      <c r="B452" s="79"/>
      <c r="C452" s="75"/>
      <c r="D452" s="76"/>
      <c r="E452" s="80"/>
      <c r="F452" s="79"/>
      <c r="G452" s="76"/>
      <c r="H452" s="54" t="str">
        <f aca="false">IF(OR(D452="",B452=""),"",IF(F452&lt;&gt;"",F452,B452+IFERROR(INDEX(Suppliers!$Q$7:$Q$106,MATCH(D452,Suppliers!$B$7:$B$106,0)),Setup!$C$7)))</f>
        <v/>
      </c>
      <c r="I452" s="46" t="str">
        <f aca="false">IF(OR(D452="",C452=""),IF(D452="","",0),SUMIFS(Payments!$D$8:$D$507,Payments!$C$8:$C$507,D452,Payments!$F$8:$F$507,C452))</f>
        <v/>
      </c>
      <c r="J452" s="46" t="str">
        <f aca="false">IF(D452="","",MIN(P452,MAX(0,R452-Q452)))</f>
        <v/>
      </c>
      <c r="K452" s="47" t="str">
        <f aca="false">IF(D452="","",P452-J452)</f>
        <v/>
      </c>
      <c r="L452" s="55" t="str">
        <f aca="false">IF(OR(D452="",N(K452)&lt;=0,H452=""),"",MAX(0,Setup!$C$11-H452))</f>
        <v/>
      </c>
      <c r="M452" s="54" t="str">
        <f aca="false">IF(OR(D452="",B452=""),"",IF(IFERROR(INDEX(Suppliers!$S$7:$S$106,MATCH(D452,Suppliers!$B$7:$B$106,0)),"")="","–",B452+IFERROR(INDEX(Suppliers!$S$7:$S$106,MATCH(D452,Suppliers!$B$7:$B$106,0)),"")))</f>
        <v/>
      </c>
      <c r="N452" s="56" t="str">
        <f aca="false">IF(D452="","",IF(N(K452)&lt;=0,"Paid",IF(AND(ISNUMBER(M452),Setup!$C$11&gt;M452),"⚠ MSME late",IF(N(L452)&gt;0,"Overdue",IF(N(V452)&lt;=Setup!$C$9,"⚠ MSME due soon",IF(K452&lt;E452,"Part paid","Not due"))))))</f>
        <v/>
      </c>
      <c r="O452" s="50" t="str">
        <f aca="false">IF(AND(D452="",B452="",C452="",E452=""),"",IF(D452="","⚠ Pick supplier",IF(ISNA(MATCH(D452,Suppliers!$B$7:$B$106,0)),"⚠ Supplier not in list",IF(B452="","⚠ Enter bill date",IF(N(E452)&lt;=0,"⚠ Enter amount",IF(AND(C452&lt;&gt;"",COUNTIFS($D$8:$D$507,D452,$C$8:$C$507,C452)&gt;1),"⚠ Bill no. used twice",IF(N(I452)&gt;N(E452),"⚠ Paid more than bill","✔")))))))</f>
        <v/>
      </c>
      <c r="P452" s="9" t="n">
        <f aca="false">IF(D452="",0,MAX(0,N(E452)-N(I452)))</f>
        <v>0</v>
      </c>
      <c r="Q452" s="9" t="n">
        <f aca="false">IF(D452="",0,SUMIFS($P$8:$P$507,$D$8:$D$507,D452,$B$8:$B$507,"&lt;"&amp;B452)+SUMIFS($P$8:P451,$D$8:D451,D452,$B$8:B451,B452))</f>
        <v>0</v>
      </c>
      <c r="R452" s="9" t="n">
        <f aca="false">IF(D452="",0,IFERROR(INDEX(Suppliers!$R$7:$R$106,MATCH(D452,Suppliers!$B$7:$B$106,0)),0))</f>
        <v>0</v>
      </c>
      <c r="S452" s="9" t="str">
        <f aca="false">IF(N(K452)&gt;0,IF(H452="",99999,MIN(H452,IF(ISNUMBER(M452),M452,H452)))+ROW()/100000,"")</f>
        <v/>
      </c>
      <c r="U452" s="9" t="n">
        <f aca="false">IF(N(K452)&gt;0,N(L452),0)</f>
        <v>0</v>
      </c>
      <c r="V452" s="9" t="n">
        <f aca="false">IF(AND(N(K452)&gt;0,ISNUMBER(M452)),M452-Setup!$C$11,99999)</f>
        <v>99999</v>
      </c>
    </row>
    <row r="453" customFormat="false" ht="15" hidden="false" customHeight="false" outlineLevel="0" collapsed="false">
      <c r="A453" s="40" t="str">
        <f aca="false">IF(D453="","",ROW()-7)</f>
        <v/>
      </c>
      <c r="B453" s="79"/>
      <c r="C453" s="75"/>
      <c r="D453" s="76"/>
      <c r="E453" s="80"/>
      <c r="F453" s="79"/>
      <c r="G453" s="76"/>
      <c r="H453" s="54" t="str">
        <f aca="false">IF(OR(D453="",B453=""),"",IF(F453&lt;&gt;"",F453,B453+IFERROR(INDEX(Suppliers!$Q$7:$Q$106,MATCH(D453,Suppliers!$B$7:$B$106,0)),Setup!$C$7)))</f>
        <v/>
      </c>
      <c r="I453" s="46" t="str">
        <f aca="false">IF(OR(D453="",C453=""),IF(D453="","",0),SUMIFS(Payments!$D$8:$D$507,Payments!$C$8:$C$507,D453,Payments!$F$8:$F$507,C453))</f>
        <v/>
      </c>
      <c r="J453" s="46" t="str">
        <f aca="false">IF(D453="","",MIN(P453,MAX(0,R453-Q453)))</f>
        <v/>
      </c>
      <c r="K453" s="47" t="str">
        <f aca="false">IF(D453="","",P453-J453)</f>
        <v/>
      </c>
      <c r="L453" s="55" t="str">
        <f aca="false">IF(OR(D453="",N(K453)&lt;=0,H453=""),"",MAX(0,Setup!$C$11-H453))</f>
        <v/>
      </c>
      <c r="M453" s="54" t="str">
        <f aca="false">IF(OR(D453="",B453=""),"",IF(IFERROR(INDEX(Suppliers!$S$7:$S$106,MATCH(D453,Suppliers!$B$7:$B$106,0)),"")="","–",B453+IFERROR(INDEX(Suppliers!$S$7:$S$106,MATCH(D453,Suppliers!$B$7:$B$106,0)),"")))</f>
        <v/>
      </c>
      <c r="N453" s="56" t="str">
        <f aca="false">IF(D453="","",IF(N(K453)&lt;=0,"Paid",IF(AND(ISNUMBER(M453),Setup!$C$11&gt;M453),"⚠ MSME late",IF(N(L453)&gt;0,"Overdue",IF(N(V453)&lt;=Setup!$C$9,"⚠ MSME due soon",IF(K453&lt;E453,"Part paid","Not due"))))))</f>
        <v/>
      </c>
      <c r="O453" s="50" t="str">
        <f aca="false">IF(AND(D453="",B453="",C453="",E453=""),"",IF(D453="","⚠ Pick supplier",IF(ISNA(MATCH(D453,Suppliers!$B$7:$B$106,0)),"⚠ Supplier not in list",IF(B453="","⚠ Enter bill date",IF(N(E453)&lt;=0,"⚠ Enter amount",IF(AND(C453&lt;&gt;"",COUNTIFS($D$8:$D$507,D453,$C$8:$C$507,C453)&gt;1),"⚠ Bill no. used twice",IF(N(I453)&gt;N(E453),"⚠ Paid more than bill","✔")))))))</f>
        <v/>
      </c>
      <c r="P453" s="9" t="n">
        <f aca="false">IF(D453="",0,MAX(0,N(E453)-N(I453)))</f>
        <v>0</v>
      </c>
      <c r="Q453" s="9" t="n">
        <f aca="false">IF(D453="",0,SUMIFS($P$8:$P$507,$D$8:$D$507,D453,$B$8:$B$507,"&lt;"&amp;B453)+SUMIFS($P$8:P452,$D$8:D452,D453,$B$8:B452,B453))</f>
        <v>0</v>
      </c>
      <c r="R453" s="9" t="n">
        <f aca="false">IF(D453="",0,IFERROR(INDEX(Suppliers!$R$7:$R$106,MATCH(D453,Suppliers!$B$7:$B$106,0)),0))</f>
        <v>0</v>
      </c>
      <c r="S453" s="9" t="str">
        <f aca="false">IF(N(K453)&gt;0,IF(H453="",99999,MIN(H453,IF(ISNUMBER(M453),M453,H453)))+ROW()/100000,"")</f>
        <v/>
      </c>
      <c r="U453" s="9" t="n">
        <f aca="false">IF(N(K453)&gt;0,N(L453),0)</f>
        <v>0</v>
      </c>
      <c r="V453" s="9" t="n">
        <f aca="false">IF(AND(N(K453)&gt;0,ISNUMBER(M453)),M453-Setup!$C$11,99999)</f>
        <v>99999</v>
      </c>
    </row>
    <row r="454" customFormat="false" ht="15" hidden="false" customHeight="false" outlineLevel="0" collapsed="false">
      <c r="A454" s="40" t="str">
        <f aca="false">IF(D454="","",ROW()-7)</f>
        <v/>
      </c>
      <c r="B454" s="79"/>
      <c r="C454" s="75"/>
      <c r="D454" s="76"/>
      <c r="E454" s="80"/>
      <c r="F454" s="79"/>
      <c r="G454" s="76"/>
      <c r="H454" s="54" t="str">
        <f aca="false">IF(OR(D454="",B454=""),"",IF(F454&lt;&gt;"",F454,B454+IFERROR(INDEX(Suppliers!$Q$7:$Q$106,MATCH(D454,Suppliers!$B$7:$B$106,0)),Setup!$C$7)))</f>
        <v/>
      </c>
      <c r="I454" s="46" t="str">
        <f aca="false">IF(OR(D454="",C454=""),IF(D454="","",0),SUMIFS(Payments!$D$8:$D$507,Payments!$C$8:$C$507,D454,Payments!$F$8:$F$507,C454))</f>
        <v/>
      </c>
      <c r="J454" s="46" t="str">
        <f aca="false">IF(D454="","",MIN(P454,MAX(0,R454-Q454)))</f>
        <v/>
      </c>
      <c r="K454" s="47" t="str">
        <f aca="false">IF(D454="","",P454-J454)</f>
        <v/>
      </c>
      <c r="L454" s="55" t="str">
        <f aca="false">IF(OR(D454="",N(K454)&lt;=0,H454=""),"",MAX(0,Setup!$C$11-H454))</f>
        <v/>
      </c>
      <c r="M454" s="54" t="str">
        <f aca="false">IF(OR(D454="",B454=""),"",IF(IFERROR(INDEX(Suppliers!$S$7:$S$106,MATCH(D454,Suppliers!$B$7:$B$106,0)),"")="","–",B454+IFERROR(INDEX(Suppliers!$S$7:$S$106,MATCH(D454,Suppliers!$B$7:$B$106,0)),"")))</f>
        <v/>
      </c>
      <c r="N454" s="56" t="str">
        <f aca="false">IF(D454="","",IF(N(K454)&lt;=0,"Paid",IF(AND(ISNUMBER(M454),Setup!$C$11&gt;M454),"⚠ MSME late",IF(N(L454)&gt;0,"Overdue",IF(N(V454)&lt;=Setup!$C$9,"⚠ MSME due soon",IF(K454&lt;E454,"Part paid","Not due"))))))</f>
        <v/>
      </c>
      <c r="O454" s="50" t="str">
        <f aca="false">IF(AND(D454="",B454="",C454="",E454=""),"",IF(D454="","⚠ Pick supplier",IF(ISNA(MATCH(D454,Suppliers!$B$7:$B$106,0)),"⚠ Supplier not in list",IF(B454="","⚠ Enter bill date",IF(N(E454)&lt;=0,"⚠ Enter amount",IF(AND(C454&lt;&gt;"",COUNTIFS($D$8:$D$507,D454,$C$8:$C$507,C454)&gt;1),"⚠ Bill no. used twice",IF(N(I454)&gt;N(E454),"⚠ Paid more than bill","✔")))))))</f>
        <v/>
      </c>
      <c r="P454" s="9" t="n">
        <f aca="false">IF(D454="",0,MAX(0,N(E454)-N(I454)))</f>
        <v>0</v>
      </c>
      <c r="Q454" s="9" t="n">
        <f aca="false">IF(D454="",0,SUMIFS($P$8:$P$507,$D$8:$D$507,D454,$B$8:$B$507,"&lt;"&amp;B454)+SUMIFS($P$8:P453,$D$8:D453,D454,$B$8:B453,B454))</f>
        <v>0</v>
      </c>
      <c r="R454" s="9" t="n">
        <f aca="false">IF(D454="",0,IFERROR(INDEX(Suppliers!$R$7:$R$106,MATCH(D454,Suppliers!$B$7:$B$106,0)),0))</f>
        <v>0</v>
      </c>
      <c r="S454" s="9" t="str">
        <f aca="false">IF(N(K454)&gt;0,IF(H454="",99999,MIN(H454,IF(ISNUMBER(M454),M454,H454)))+ROW()/100000,"")</f>
        <v/>
      </c>
      <c r="U454" s="9" t="n">
        <f aca="false">IF(N(K454)&gt;0,N(L454),0)</f>
        <v>0</v>
      </c>
      <c r="V454" s="9" t="n">
        <f aca="false">IF(AND(N(K454)&gt;0,ISNUMBER(M454)),M454-Setup!$C$11,99999)</f>
        <v>99999</v>
      </c>
    </row>
    <row r="455" customFormat="false" ht="15" hidden="false" customHeight="false" outlineLevel="0" collapsed="false">
      <c r="A455" s="40" t="str">
        <f aca="false">IF(D455="","",ROW()-7)</f>
        <v/>
      </c>
      <c r="B455" s="79"/>
      <c r="C455" s="75"/>
      <c r="D455" s="76"/>
      <c r="E455" s="80"/>
      <c r="F455" s="79"/>
      <c r="G455" s="76"/>
      <c r="H455" s="54" t="str">
        <f aca="false">IF(OR(D455="",B455=""),"",IF(F455&lt;&gt;"",F455,B455+IFERROR(INDEX(Suppliers!$Q$7:$Q$106,MATCH(D455,Suppliers!$B$7:$B$106,0)),Setup!$C$7)))</f>
        <v/>
      </c>
      <c r="I455" s="46" t="str">
        <f aca="false">IF(OR(D455="",C455=""),IF(D455="","",0),SUMIFS(Payments!$D$8:$D$507,Payments!$C$8:$C$507,D455,Payments!$F$8:$F$507,C455))</f>
        <v/>
      </c>
      <c r="J455" s="46" t="str">
        <f aca="false">IF(D455="","",MIN(P455,MAX(0,R455-Q455)))</f>
        <v/>
      </c>
      <c r="K455" s="47" t="str">
        <f aca="false">IF(D455="","",P455-J455)</f>
        <v/>
      </c>
      <c r="L455" s="55" t="str">
        <f aca="false">IF(OR(D455="",N(K455)&lt;=0,H455=""),"",MAX(0,Setup!$C$11-H455))</f>
        <v/>
      </c>
      <c r="M455" s="54" t="str">
        <f aca="false">IF(OR(D455="",B455=""),"",IF(IFERROR(INDEX(Suppliers!$S$7:$S$106,MATCH(D455,Suppliers!$B$7:$B$106,0)),"")="","–",B455+IFERROR(INDEX(Suppliers!$S$7:$S$106,MATCH(D455,Suppliers!$B$7:$B$106,0)),"")))</f>
        <v/>
      </c>
      <c r="N455" s="56" t="str">
        <f aca="false">IF(D455="","",IF(N(K455)&lt;=0,"Paid",IF(AND(ISNUMBER(M455),Setup!$C$11&gt;M455),"⚠ MSME late",IF(N(L455)&gt;0,"Overdue",IF(N(V455)&lt;=Setup!$C$9,"⚠ MSME due soon",IF(K455&lt;E455,"Part paid","Not due"))))))</f>
        <v/>
      </c>
      <c r="O455" s="50" t="str">
        <f aca="false">IF(AND(D455="",B455="",C455="",E455=""),"",IF(D455="","⚠ Pick supplier",IF(ISNA(MATCH(D455,Suppliers!$B$7:$B$106,0)),"⚠ Supplier not in list",IF(B455="","⚠ Enter bill date",IF(N(E455)&lt;=0,"⚠ Enter amount",IF(AND(C455&lt;&gt;"",COUNTIFS($D$8:$D$507,D455,$C$8:$C$507,C455)&gt;1),"⚠ Bill no. used twice",IF(N(I455)&gt;N(E455),"⚠ Paid more than bill","✔")))))))</f>
        <v/>
      </c>
      <c r="P455" s="9" t="n">
        <f aca="false">IF(D455="",0,MAX(0,N(E455)-N(I455)))</f>
        <v>0</v>
      </c>
      <c r="Q455" s="9" t="n">
        <f aca="false">IF(D455="",0,SUMIFS($P$8:$P$507,$D$8:$D$507,D455,$B$8:$B$507,"&lt;"&amp;B455)+SUMIFS($P$8:P454,$D$8:D454,D455,$B$8:B454,B455))</f>
        <v>0</v>
      </c>
      <c r="R455" s="9" t="n">
        <f aca="false">IF(D455="",0,IFERROR(INDEX(Suppliers!$R$7:$R$106,MATCH(D455,Suppliers!$B$7:$B$106,0)),0))</f>
        <v>0</v>
      </c>
      <c r="S455" s="9" t="str">
        <f aca="false">IF(N(K455)&gt;0,IF(H455="",99999,MIN(H455,IF(ISNUMBER(M455),M455,H455)))+ROW()/100000,"")</f>
        <v/>
      </c>
      <c r="U455" s="9" t="n">
        <f aca="false">IF(N(K455)&gt;0,N(L455),0)</f>
        <v>0</v>
      </c>
      <c r="V455" s="9" t="n">
        <f aca="false">IF(AND(N(K455)&gt;0,ISNUMBER(M455)),M455-Setup!$C$11,99999)</f>
        <v>99999</v>
      </c>
    </row>
    <row r="456" customFormat="false" ht="15" hidden="false" customHeight="false" outlineLevel="0" collapsed="false">
      <c r="A456" s="40" t="str">
        <f aca="false">IF(D456="","",ROW()-7)</f>
        <v/>
      </c>
      <c r="B456" s="79"/>
      <c r="C456" s="75"/>
      <c r="D456" s="76"/>
      <c r="E456" s="80"/>
      <c r="F456" s="79"/>
      <c r="G456" s="76"/>
      <c r="H456" s="54" t="str">
        <f aca="false">IF(OR(D456="",B456=""),"",IF(F456&lt;&gt;"",F456,B456+IFERROR(INDEX(Suppliers!$Q$7:$Q$106,MATCH(D456,Suppliers!$B$7:$B$106,0)),Setup!$C$7)))</f>
        <v/>
      </c>
      <c r="I456" s="46" t="str">
        <f aca="false">IF(OR(D456="",C456=""),IF(D456="","",0),SUMIFS(Payments!$D$8:$D$507,Payments!$C$8:$C$507,D456,Payments!$F$8:$F$507,C456))</f>
        <v/>
      </c>
      <c r="J456" s="46" t="str">
        <f aca="false">IF(D456="","",MIN(P456,MAX(0,R456-Q456)))</f>
        <v/>
      </c>
      <c r="K456" s="47" t="str">
        <f aca="false">IF(D456="","",P456-J456)</f>
        <v/>
      </c>
      <c r="L456" s="55" t="str">
        <f aca="false">IF(OR(D456="",N(K456)&lt;=0,H456=""),"",MAX(0,Setup!$C$11-H456))</f>
        <v/>
      </c>
      <c r="M456" s="54" t="str">
        <f aca="false">IF(OR(D456="",B456=""),"",IF(IFERROR(INDEX(Suppliers!$S$7:$S$106,MATCH(D456,Suppliers!$B$7:$B$106,0)),"")="","–",B456+IFERROR(INDEX(Suppliers!$S$7:$S$106,MATCH(D456,Suppliers!$B$7:$B$106,0)),"")))</f>
        <v/>
      </c>
      <c r="N456" s="56" t="str">
        <f aca="false">IF(D456="","",IF(N(K456)&lt;=0,"Paid",IF(AND(ISNUMBER(M456),Setup!$C$11&gt;M456),"⚠ MSME late",IF(N(L456)&gt;0,"Overdue",IF(N(V456)&lt;=Setup!$C$9,"⚠ MSME due soon",IF(K456&lt;E456,"Part paid","Not due"))))))</f>
        <v/>
      </c>
      <c r="O456" s="50" t="str">
        <f aca="false">IF(AND(D456="",B456="",C456="",E456=""),"",IF(D456="","⚠ Pick supplier",IF(ISNA(MATCH(D456,Suppliers!$B$7:$B$106,0)),"⚠ Supplier not in list",IF(B456="","⚠ Enter bill date",IF(N(E456)&lt;=0,"⚠ Enter amount",IF(AND(C456&lt;&gt;"",COUNTIFS($D$8:$D$507,D456,$C$8:$C$507,C456)&gt;1),"⚠ Bill no. used twice",IF(N(I456)&gt;N(E456),"⚠ Paid more than bill","✔")))))))</f>
        <v/>
      </c>
      <c r="P456" s="9" t="n">
        <f aca="false">IF(D456="",0,MAX(0,N(E456)-N(I456)))</f>
        <v>0</v>
      </c>
      <c r="Q456" s="9" t="n">
        <f aca="false">IF(D456="",0,SUMIFS($P$8:$P$507,$D$8:$D$507,D456,$B$8:$B$507,"&lt;"&amp;B456)+SUMIFS($P$8:P455,$D$8:D455,D456,$B$8:B455,B456))</f>
        <v>0</v>
      </c>
      <c r="R456" s="9" t="n">
        <f aca="false">IF(D456="",0,IFERROR(INDEX(Suppliers!$R$7:$R$106,MATCH(D456,Suppliers!$B$7:$B$106,0)),0))</f>
        <v>0</v>
      </c>
      <c r="S456" s="9" t="str">
        <f aca="false">IF(N(K456)&gt;0,IF(H456="",99999,MIN(H456,IF(ISNUMBER(M456),M456,H456)))+ROW()/100000,"")</f>
        <v/>
      </c>
      <c r="U456" s="9" t="n">
        <f aca="false">IF(N(K456)&gt;0,N(L456),0)</f>
        <v>0</v>
      </c>
      <c r="V456" s="9" t="n">
        <f aca="false">IF(AND(N(K456)&gt;0,ISNUMBER(M456)),M456-Setup!$C$11,99999)</f>
        <v>99999</v>
      </c>
    </row>
    <row r="457" customFormat="false" ht="15" hidden="false" customHeight="false" outlineLevel="0" collapsed="false">
      <c r="A457" s="40" t="str">
        <f aca="false">IF(D457="","",ROW()-7)</f>
        <v/>
      </c>
      <c r="B457" s="79"/>
      <c r="C457" s="75"/>
      <c r="D457" s="76"/>
      <c r="E457" s="80"/>
      <c r="F457" s="79"/>
      <c r="G457" s="76"/>
      <c r="H457" s="54" t="str">
        <f aca="false">IF(OR(D457="",B457=""),"",IF(F457&lt;&gt;"",F457,B457+IFERROR(INDEX(Suppliers!$Q$7:$Q$106,MATCH(D457,Suppliers!$B$7:$B$106,0)),Setup!$C$7)))</f>
        <v/>
      </c>
      <c r="I457" s="46" t="str">
        <f aca="false">IF(OR(D457="",C457=""),IF(D457="","",0),SUMIFS(Payments!$D$8:$D$507,Payments!$C$8:$C$507,D457,Payments!$F$8:$F$507,C457))</f>
        <v/>
      </c>
      <c r="J457" s="46" t="str">
        <f aca="false">IF(D457="","",MIN(P457,MAX(0,R457-Q457)))</f>
        <v/>
      </c>
      <c r="K457" s="47" t="str">
        <f aca="false">IF(D457="","",P457-J457)</f>
        <v/>
      </c>
      <c r="L457" s="55" t="str">
        <f aca="false">IF(OR(D457="",N(K457)&lt;=0,H457=""),"",MAX(0,Setup!$C$11-H457))</f>
        <v/>
      </c>
      <c r="M457" s="54" t="str">
        <f aca="false">IF(OR(D457="",B457=""),"",IF(IFERROR(INDEX(Suppliers!$S$7:$S$106,MATCH(D457,Suppliers!$B$7:$B$106,0)),"")="","–",B457+IFERROR(INDEX(Suppliers!$S$7:$S$106,MATCH(D457,Suppliers!$B$7:$B$106,0)),"")))</f>
        <v/>
      </c>
      <c r="N457" s="56" t="str">
        <f aca="false">IF(D457="","",IF(N(K457)&lt;=0,"Paid",IF(AND(ISNUMBER(M457),Setup!$C$11&gt;M457),"⚠ MSME late",IF(N(L457)&gt;0,"Overdue",IF(N(V457)&lt;=Setup!$C$9,"⚠ MSME due soon",IF(K457&lt;E457,"Part paid","Not due"))))))</f>
        <v/>
      </c>
      <c r="O457" s="50" t="str">
        <f aca="false">IF(AND(D457="",B457="",C457="",E457=""),"",IF(D457="","⚠ Pick supplier",IF(ISNA(MATCH(D457,Suppliers!$B$7:$B$106,0)),"⚠ Supplier not in list",IF(B457="","⚠ Enter bill date",IF(N(E457)&lt;=0,"⚠ Enter amount",IF(AND(C457&lt;&gt;"",COUNTIFS($D$8:$D$507,D457,$C$8:$C$507,C457)&gt;1),"⚠ Bill no. used twice",IF(N(I457)&gt;N(E457),"⚠ Paid more than bill","✔")))))))</f>
        <v/>
      </c>
      <c r="P457" s="9" t="n">
        <f aca="false">IF(D457="",0,MAX(0,N(E457)-N(I457)))</f>
        <v>0</v>
      </c>
      <c r="Q457" s="9" t="n">
        <f aca="false">IF(D457="",0,SUMIFS($P$8:$P$507,$D$8:$D$507,D457,$B$8:$B$507,"&lt;"&amp;B457)+SUMIFS($P$8:P456,$D$8:D456,D457,$B$8:B456,B457))</f>
        <v>0</v>
      </c>
      <c r="R457" s="9" t="n">
        <f aca="false">IF(D457="",0,IFERROR(INDEX(Suppliers!$R$7:$R$106,MATCH(D457,Suppliers!$B$7:$B$106,0)),0))</f>
        <v>0</v>
      </c>
      <c r="S457" s="9" t="str">
        <f aca="false">IF(N(K457)&gt;0,IF(H457="",99999,MIN(H457,IF(ISNUMBER(M457),M457,H457)))+ROW()/100000,"")</f>
        <v/>
      </c>
      <c r="U457" s="9" t="n">
        <f aca="false">IF(N(K457)&gt;0,N(L457),0)</f>
        <v>0</v>
      </c>
      <c r="V457" s="9" t="n">
        <f aca="false">IF(AND(N(K457)&gt;0,ISNUMBER(M457)),M457-Setup!$C$11,99999)</f>
        <v>99999</v>
      </c>
    </row>
    <row r="458" customFormat="false" ht="15" hidden="false" customHeight="false" outlineLevel="0" collapsed="false">
      <c r="A458" s="40" t="str">
        <f aca="false">IF(D458="","",ROW()-7)</f>
        <v/>
      </c>
      <c r="B458" s="79"/>
      <c r="C458" s="75"/>
      <c r="D458" s="76"/>
      <c r="E458" s="80"/>
      <c r="F458" s="79"/>
      <c r="G458" s="76"/>
      <c r="H458" s="54" t="str">
        <f aca="false">IF(OR(D458="",B458=""),"",IF(F458&lt;&gt;"",F458,B458+IFERROR(INDEX(Suppliers!$Q$7:$Q$106,MATCH(D458,Suppliers!$B$7:$B$106,0)),Setup!$C$7)))</f>
        <v/>
      </c>
      <c r="I458" s="46" t="str">
        <f aca="false">IF(OR(D458="",C458=""),IF(D458="","",0),SUMIFS(Payments!$D$8:$D$507,Payments!$C$8:$C$507,D458,Payments!$F$8:$F$507,C458))</f>
        <v/>
      </c>
      <c r="J458" s="46" t="str">
        <f aca="false">IF(D458="","",MIN(P458,MAX(0,R458-Q458)))</f>
        <v/>
      </c>
      <c r="K458" s="47" t="str">
        <f aca="false">IF(D458="","",P458-J458)</f>
        <v/>
      </c>
      <c r="L458" s="55" t="str">
        <f aca="false">IF(OR(D458="",N(K458)&lt;=0,H458=""),"",MAX(0,Setup!$C$11-H458))</f>
        <v/>
      </c>
      <c r="M458" s="54" t="str">
        <f aca="false">IF(OR(D458="",B458=""),"",IF(IFERROR(INDEX(Suppliers!$S$7:$S$106,MATCH(D458,Suppliers!$B$7:$B$106,0)),"")="","–",B458+IFERROR(INDEX(Suppliers!$S$7:$S$106,MATCH(D458,Suppliers!$B$7:$B$106,0)),"")))</f>
        <v/>
      </c>
      <c r="N458" s="56" t="str">
        <f aca="false">IF(D458="","",IF(N(K458)&lt;=0,"Paid",IF(AND(ISNUMBER(M458),Setup!$C$11&gt;M458),"⚠ MSME late",IF(N(L458)&gt;0,"Overdue",IF(N(V458)&lt;=Setup!$C$9,"⚠ MSME due soon",IF(K458&lt;E458,"Part paid","Not due"))))))</f>
        <v/>
      </c>
      <c r="O458" s="50" t="str">
        <f aca="false">IF(AND(D458="",B458="",C458="",E458=""),"",IF(D458="","⚠ Pick supplier",IF(ISNA(MATCH(D458,Suppliers!$B$7:$B$106,0)),"⚠ Supplier not in list",IF(B458="","⚠ Enter bill date",IF(N(E458)&lt;=0,"⚠ Enter amount",IF(AND(C458&lt;&gt;"",COUNTIFS($D$8:$D$507,D458,$C$8:$C$507,C458)&gt;1),"⚠ Bill no. used twice",IF(N(I458)&gt;N(E458),"⚠ Paid more than bill","✔")))))))</f>
        <v/>
      </c>
      <c r="P458" s="9" t="n">
        <f aca="false">IF(D458="",0,MAX(0,N(E458)-N(I458)))</f>
        <v>0</v>
      </c>
      <c r="Q458" s="9" t="n">
        <f aca="false">IF(D458="",0,SUMIFS($P$8:$P$507,$D$8:$D$507,D458,$B$8:$B$507,"&lt;"&amp;B458)+SUMIFS($P$8:P457,$D$8:D457,D458,$B$8:B457,B458))</f>
        <v>0</v>
      </c>
      <c r="R458" s="9" t="n">
        <f aca="false">IF(D458="",0,IFERROR(INDEX(Suppliers!$R$7:$R$106,MATCH(D458,Suppliers!$B$7:$B$106,0)),0))</f>
        <v>0</v>
      </c>
      <c r="S458" s="9" t="str">
        <f aca="false">IF(N(K458)&gt;0,IF(H458="",99999,MIN(H458,IF(ISNUMBER(M458),M458,H458)))+ROW()/100000,"")</f>
        <v/>
      </c>
      <c r="U458" s="9" t="n">
        <f aca="false">IF(N(K458)&gt;0,N(L458),0)</f>
        <v>0</v>
      </c>
      <c r="V458" s="9" t="n">
        <f aca="false">IF(AND(N(K458)&gt;0,ISNUMBER(M458)),M458-Setup!$C$11,99999)</f>
        <v>99999</v>
      </c>
    </row>
    <row r="459" customFormat="false" ht="15" hidden="false" customHeight="false" outlineLevel="0" collapsed="false">
      <c r="A459" s="40" t="str">
        <f aca="false">IF(D459="","",ROW()-7)</f>
        <v/>
      </c>
      <c r="B459" s="79"/>
      <c r="C459" s="75"/>
      <c r="D459" s="76"/>
      <c r="E459" s="80"/>
      <c r="F459" s="79"/>
      <c r="G459" s="76"/>
      <c r="H459" s="54" t="str">
        <f aca="false">IF(OR(D459="",B459=""),"",IF(F459&lt;&gt;"",F459,B459+IFERROR(INDEX(Suppliers!$Q$7:$Q$106,MATCH(D459,Suppliers!$B$7:$B$106,0)),Setup!$C$7)))</f>
        <v/>
      </c>
      <c r="I459" s="46" t="str">
        <f aca="false">IF(OR(D459="",C459=""),IF(D459="","",0),SUMIFS(Payments!$D$8:$D$507,Payments!$C$8:$C$507,D459,Payments!$F$8:$F$507,C459))</f>
        <v/>
      </c>
      <c r="J459" s="46" t="str">
        <f aca="false">IF(D459="","",MIN(P459,MAX(0,R459-Q459)))</f>
        <v/>
      </c>
      <c r="K459" s="47" t="str">
        <f aca="false">IF(D459="","",P459-J459)</f>
        <v/>
      </c>
      <c r="L459" s="55" t="str">
        <f aca="false">IF(OR(D459="",N(K459)&lt;=0,H459=""),"",MAX(0,Setup!$C$11-H459))</f>
        <v/>
      </c>
      <c r="M459" s="54" t="str">
        <f aca="false">IF(OR(D459="",B459=""),"",IF(IFERROR(INDEX(Suppliers!$S$7:$S$106,MATCH(D459,Suppliers!$B$7:$B$106,0)),"")="","–",B459+IFERROR(INDEX(Suppliers!$S$7:$S$106,MATCH(D459,Suppliers!$B$7:$B$106,0)),"")))</f>
        <v/>
      </c>
      <c r="N459" s="56" t="str">
        <f aca="false">IF(D459="","",IF(N(K459)&lt;=0,"Paid",IF(AND(ISNUMBER(M459),Setup!$C$11&gt;M459),"⚠ MSME late",IF(N(L459)&gt;0,"Overdue",IF(N(V459)&lt;=Setup!$C$9,"⚠ MSME due soon",IF(K459&lt;E459,"Part paid","Not due"))))))</f>
        <v/>
      </c>
      <c r="O459" s="50" t="str">
        <f aca="false">IF(AND(D459="",B459="",C459="",E459=""),"",IF(D459="","⚠ Pick supplier",IF(ISNA(MATCH(D459,Suppliers!$B$7:$B$106,0)),"⚠ Supplier not in list",IF(B459="","⚠ Enter bill date",IF(N(E459)&lt;=0,"⚠ Enter amount",IF(AND(C459&lt;&gt;"",COUNTIFS($D$8:$D$507,D459,$C$8:$C$507,C459)&gt;1),"⚠ Bill no. used twice",IF(N(I459)&gt;N(E459),"⚠ Paid more than bill","✔")))))))</f>
        <v/>
      </c>
      <c r="P459" s="9" t="n">
        <f aca="false">IF(D459="",0,MAX(0,N(E459)-N(I459)))</f>
        <v>0</v>
      </c>
      <c r="Q459" s="9" t="n">
        <f aca="false">IF(D459="",0,SUMIFS($P$8:$P$507,$D$8:$D$507,D459,$B$8:$B$507,"&lt;"&amp;B459)+SUMIFS($P$8:P458,$D$8:D458,D459,$B$8:B458,B459))</f>
        <v>0</v>
      </c>
      <c r="R459" s="9" t="n">
        <f aca="false">IF(D459="",0,IFERROR(INDEX(Suppliers!$R$7:$R$106,MATCH(D459,Suppliers!$B$7:$B$106,0)),0))</f>
        <v>0</v>
      </c>
      <c r="S459" s="9" t="str">
        <f aca="false">IF(N(K459)&gt;0,IF(H459="",99999,MIN(H459,IF(ISNUMBER(M459),M459,H459)))+ROW()/100000,"")</f>
        <v/>
      </c>
      <c r="U459" s="9" t="n">
        <f aca="false">IF(N(K459)&gt;0,N(L459),0)</f>
        <v>0</v>
      </c>
      <c r="V459" s="9" t="n">
        <f aca="false">IF(AND(N(K459)&gt;0,ISNUMBER(M459)),M459-Setup!$C$11,99999)</f>
        <v>99999</v>
      </c>
    </row>
    <row r="460" customFormat="false" ht="15" hidden="false" customHeight="false" outlineLevel="0" collapsed="false">
      <c r="A460" s="40" t="str">
        <f aca="false">IF(D460="","",ROW()-7)</f>
        <v/>
      </c>
      <c r="B460" s="79"/>
      <c r="C460" s="75"/>
      <c r="D460" s="76"/>
      <c r="E460" s="80"/>
      <c r="F460" s="79"/>
      <c r="G460" s="76"/>
      <c r="H460" s="54" t="str">
        <f aca="false">IF(OR(D460="",B460=""),"",IF(F460&lt;&gt;"",F460,B460+IFERROR(INDEX(Suppliers!$Q$7:$Q$106,MATCH(D460,Suppliers!$B$7:$B$106,0)),Setup!$C$7)))</f>
        <v/>
      </c>
      <c r="I460" s="46" t="str">
        <f aca="false">IF(OR(D460="",C460=""),IF(D460="","",0),SUMIFS(Payments!$D$8:$D$507,Payments!$C$8:$C$507,D460,Payments!$F$8:$F$507,C460))</f>
        <v/>
      </c>
      <c r="J460" s="46" t="str">
        <f aca="false">IF(D460="","",MIN(P460,MAX(0,R460-Q460)))</f>
        <v/>
      </c>
      <c r="K460" s="47" t="str">
        <f aca="false">IF(D460="","",P460-J460)</f>
        <v/>
      </c>
      <c r="L460" s="55" t="str">
        <f aca="false">IF(OR(D460="",N(K460)&lt;=0,H460=""),"",MAX(0,Setup!$C$11-H460))</f>
        <v/>
      </c>
      <c r="M460" s="54" t="str">
        <f aca="false">IF(OR(D460="",B460=""),"",IF(IFERROR(INDEX(Suppliers!$S$7:$S$106,MATCH(D460,Suppliers!$B$7:$B$106,0)),"")="","–",B460+IFERROR(INDEX(Suppliers!$S$7:$S$106,MATCH(D460,Suppliers!$B$7:$B$106,0)),"")))</f>
        <v/>
      </c>
      <c r="N460" s="56" t="str">
        <f aca="false">IF(D460="","",IF(N(K460)&lt;=0,"Paid",IF(AND(ISNUMBER(M460),Setup!$C$11&gt;M460),"⚠ MSME late",IF(N(L460)&gt;0,"Overdue",IF(N(V460)&lt;=Setup!$C$9,"⚠ MSME due soon",IF(K460&lt;E460,"Part paid","Not due"))))))</f>
        <v/>
      </c>
      <c r="O460" s="50" t="str">
        <f aca="false">IF(AND(D460="",B460="",C460="",E460=""),"",IF(D460="","⚠ Pick supplier",IF(ISNA(MATCH(D460,Suppliers!$B$7:$B$106,0)),"⚠ Supplier not in list",IF(B460="","⚠ Enter bill date",IF(N(E460)&lt;=0,"⚠ Enter amount",IF(AND(C460&lt;&gt;"",COUNTIFS($D$8:$D$507,D460,$C$8:$C$507,C460)&gt;1),"⚠ Bill no. used twice",IF(N(I460)&gt;N(E460),"⚠ Paid more than bill","✔")))))))</f>
        <v/>
      </c>
      <c r="P460" s="9" t="n">
        <f aca="false">IF(D460="",0,MAX(0,N(E460)-N(I460)))</f>
        <v>0</v>
      </c>
      <c r="Q460" s="9" t="n">
        <f aca="false">IF(D460="",0,SUMIFS($P$8:$P$507,$D$8:$D$507,D460,$B$8:$B$507,"&lt;"&amp;B460)+SUMIFS($P$8:P459,$D$8:D459,D460,$B$8:B459,B460))</f>
        <v>0</v>
      </c>
      <c r="R460" s="9" t="n">
        <f aca="false">IF(D460="",0,IFERROR(INDEX(Suppliers!$R$7:$R$106,MATCH(D460,Suppliers!$B$7:$B$106,0)),0))</f>
        <v>0</v>
      </c>
      <c r="S460" s="9" t="str">
        <f aca="false">IF(N(K460)&gt;0,IF(H460="",99999,MIN(H460,IF(ISNUMBER(M460),M460,H460)))+ROW()/100000,"")</f>
        <v/>
      </c>
      <c r="U460" s="9" t="n">
        <f aca="false">IF(N(K460)&gt;0,N(L460),0)</f>
        <v>0</v>
      </c>
      <c r="V460" s="9" t="n">
        <f aca="false">IF(AND(N(K460)&gt;0,ISNUMBER(M460)),M460-Setup!$C$11,99999)</f>
        <v>99999</v>
      </c>
    </row>
    <row r="461" customFormat="false" ht="15" hidden="false" customHeight="false" outlineLevel="0" collapsed="false">
      <c r="A461" s="40" t="str">
        <f aca="false">IF(D461="","",ROW()-7)</f>
        <v/>
      </c>
      <c r="B461" s="79"/>
      <c r="C461" s="75"/>
      <c r="D461" s="76"/>
      <c r="E461" s="80"/>
      <c r="F461" s="79"/>
      <c r="G461" s="76"/>
      <c r="H461" s="54" t="str">
        <f aca="false">IF(OR(D461="",B461=""),"",IF(F461&lt;&gt;"",F461,B461+IFERROR(INDEX(Suppliers!$Q$7:$Q$106,MATCH(D461,Suppliers!$B$7:$B$106,0)),Setup!$C$7)))</f>
        <v/>
      </c>
      <c r="I461" s="46" t="str">
        <f aca="false">IF(OR(D461="",C461=""),IF(D461="","",0),SUMIFS(Payments!$D$8:$D$507,Payments!$C$8:$C$507,D461,Payments!$F$8:$F$507,C461))</f>
        <v/>
      </c>
      <c r="J461" s="46" t="str">
        <f aca="false">IF(D461="","",MIN(P461,MAX(0,R461-Q461)))</f>
        <v/>
      </c>
      <c r="K461" s="47" t="str">
        <f aca="false">IF(D461="","",P461-J461)</f>
        <v/>
      </c>
      <c r="L461" s="55" t="str">
        <f aca="false">IF(OR(D461="",N(K461)&lt;=0,H461=""),"",MAX(0,Setup!$C$11-H461))</f>
        <v/>
      </c>
      <c r="M461" s="54" t="str">
        <f aca="false">IF(OR(D461="",B461=""),"",IF(IFERROR(INDEX(Suppliers!$S$7:$S$106,MATCH(D461,Suppliers!$B$7:$B$106,0)),"")="","–",B461+IFERROR(INDEX(Suppliers!$S$7:$S$106,MATCH(D461,Suppliers!$B$7:$B$106,0)),"")))</f>
        <v/>
      </c>
      <c r="N461" s="56" t="str">
        <f aca="false">IF(D461="","",IF(N(K461)&lt;=0,"Paid",IF(AND(ISNUMBER(M461),Setup!$C$11&gt;M461),"⚠ MSME late",IF(N(L461)&gt;0,"Overdue",IF(N(V461)&lt;=Setup!$C$9,"⚠ MSME due soon",IF(K461&lt;E461,"Part paid","Not due"))))))</f>
        <v/>
      </c>
      <c r="O461" s="50" t="str">
        <f aca="false">IF(AND(D461="",B461="",C461="",E461=""),"",IF(D461="","⚠ Pick supplier",IF(ISNA(MATCH(D461,Suppliers!$B$7:$B$106,0)),"⚠ Supplier not in list",IF(B461="","⚠ Enter bill date",IF(N(E461)&lt;=0,"⚠ Enter amount",IF(AND(C461&lt;&gt;"",COUNTIFS($D$8:$D$507,D461,$C$8:$C$507,C461)&gt;1),"⚠ Bill no. used twice",IF(N(I461)&gt;N(E461),"⚠ Paid more than bill","✔")))))))</f>
        <v/>
      </c>
      <c r="P461" s="9" t="n">
        <f aca="false">IF(D461="",0,MAX(0,N(E461)-N(I461)))</f>
        <v>0</v>
      </c>
      <c r="Q461" s="9" t="n">
        <f aca="false">IF(D461="",0,SUMIFS($P$8:$P$507,$D$8:$D$507,D461,$B$8:$B$507,"&lt;"&amp;B461)+SUMIFS($P$8:P460,$D$8:D460,D461,$B$8:B460,B461))</f>
        <v>0</v>
      </c>
      <c r="R461" s="9" t="n">
        <f aca="false">IF(D461="",0,IFERROR(INDEX(Suppliers!$R$7:$R$106,MATCH(D461,Suppliers!$B$7:$B$106,0)),0))</f>
        <v>0</v>
      </c>
      <c r="S461" s="9" t="str">
        <f aca="false">IF(N(K461)&gt;0,IF(H461="",99999,MIN(H461,IF(ISNUMBER(M461),M461,H461)))+ROW()/100000,"")</f>
        <v/>
      </c>
      <c r="U461" s="9" t="n">
        <f aca="false">IF(N(K461)&gt;0,N(L461),0)</f>
        <v>0</v>
      </c>
      <c r="V461" s="9" t="n">
        <f aca="false">IF(AND(N(K461)&gt;0,ISNUMBER(M461)),M461-Setup!$C$11,99999)</f>
        <v>99999</v>
      </c>
    </row>
    <row r="462" customFormat="false" ht="15" hidden="false" customHeight="false" outlineLevel="0" collapsed="false">
      <c r="A462" s="40" t="str">
        <f aca="false">IF(D462="","",ROW()-7)</f>
        <v/>
      </c>
      <c r="B462" s="79"/>
      <c r="C462" s="75"/>
      <c r="D462" s="76"/>
      <c r="E462" s="80"/>
      <c r="F462" s="79"/>
      <c r="G462" s="76"/>
      <c r="H462" s="54" t="str">
        <f aca="false">IF(OR(D462="",B462=""),"",IF(F462&lt;&gt;"",F462,B462+IFERROR(INDEX(Suppliers!$Q$7:$Q$106,MATCH(D462,Suppliers!$B$7:$B$106,0)),Setup!$C$7)))</f>
        <v/>
      </c>
      <c r="I462" s="46" t="str">
        <f aca="false">IF(OR(D462="",C462=""),IF(D462="","",0),SUMIFS(Payments!$D$8:$D$507,Payments!$C$8:$C$507,D462,Payments!$F$8:$F$507,C462))</f>
        <v/>
      </c>
      <c r="J462" s="46" t="str">
        <f aca="false">IF(D462="","",MIN(P462,MAX(0,R462-Q462)))</f>
        <v/>
      </c>
      <c r="K462" s="47" t="str">
        <f aca="false">IF(D462="","",P462-J462)</f>
        <v/>
      </c>
      <c r="L462" s="55" t="str">
        <f aca="false">IF(OR(D462="",N(K462)&lt;=0,H462=""),"",MAX(0,Setup!$C$11-H462))</f>
        <v/>
      </c>
      <c r="M462" s="54" t="str">
        <f aca="false">IF(OR(D462="",B462=""),"",IF(IFERROR(INDEX(Suppliers!$S$7:$S$106,MATCH(D462,Suppliers!$B$7:$B$106,0)),"")="","–",B462+IFERROR(INDEX(Suppliers!$S$7:$S$106,MATCH(D462,Suppliers!$B$7:$B$106,0)),"")))</f>
        <v/>
      </c>
      <c r="N462" s="56" t="str">
        <f aca="false">IF(D462="","",IF(N(K462)&lt;=0,"Paid",IF(AND(ISNUMBER(M462),Setup!$C$11&gt;M462),"⚠ MSME late",IF(N(L462)&gt;0,"Overdue",IF(N(V462)&lt;=Setup!$C$9,"⚠ MSME due soon",IF(K462&lt;E462,"Part paid","Not due"))))))</f>
        <v/>
      </c>
      <c r="O462" s="50" t="str">
        <f aca="false">IF(AND(D462="",B462="",C462="",E462=""),"",IF(D462="","⚠ Pick supplier",IF(ISNA(MATCH(D462,Suppliers!$B$7:$B$106,0)),"⚠ Supplier not in list",IF(B462="","⚠ Enter bill date",IF(N(E462)&lt;=0,"⚠ Enter amount",IF(AND(C462&lt;&gt;"",COUNTIFS($D$8:$D$507,D462,$C$8:$C$507,C462)&gt;1),"⚠ Bill no. used twice",IF(N(I462)&gt;N(E462),"⚠ Paid more than bill","✔")))))))</f>
        <v/>
      </c>
      <c r="P462" s="9" t="n">
        <f aca="false">IF(D462="",0,MAX(0,N(E462)-N(I462)))</f>
        <v>0</v>
      </c>
      <c r="Q462" s="9" t="n">
        <f aca="false">IF(D462="",0,SUMIFS($P$8:$P$507,$D$8:$D$507,D462,$B$8:$B$507,"&lt;"&amp;B462)+SUMIFS($P$8:P461,$D$8:D461,D462,$B$8:B461,B462))</f>
        <v>0</v>
      </c>
      <c r="R462" s="9" t="n">
        <f aca="false">IF(D462="",0,IFERROR(INDEX(Suppliers!$R$7:$R$106,MATCH(D462,Suppliers!$B$7:$B$106,0)),0))</f>
        <v>0</v>
      </c>
      <c r="S462" s="9" t="str">
        <f aca="false">IF(N(K462)&gt;0,IF(H462="",99999,MIN(H462,IF(ISNUMBER(M462),M462,H462)))+ROW()/100000,"")</f>
        <v/>
      </c>
      <c r="U462" s="9" t="n">
        <f aca="false">IF(N(K462)&gt;0,N(L462),0)</f>
        <v>0</v>
      </c>
      <c r="V462" s="9" t="n">
        <f aca="false">IF(AND(N(K462)&gt;0,ISNUMBER(M462)),M462-Setup!$C$11,99999)</f>
        <v>99999</v>
      </c>
    </row>
    <row r="463" customFormat="false" ht="15" hidden="false" customHeight="false" outlineLevel="0" collapsed="false">
      <c r="A463" s="40" t="str">
        <f aca="false">IF(D463="","",ROW()-7)</f>
        <v/>
      </c>
      <c r="B463" s="79"/>
      <c r="C463" s="75"/>
      <c r="D463" s="76"/>
      <c r="E463" s="80"/>
      <c r="F463" s="79"/>
      <c r="G463" s="76"/>
      <c r="H463" s="54" t="str">
        <f aca="false">IF(OR(D463="",B463=""),"",IF(F463&lt;&gt;"",F463,B463+IFERROR(INDEX(Suppliers!$Q$7:$Q$106,MATCH(D463,Suppliers!$B$7:$B$106,0)),Setup!$C$7)))</f>
        <v/>
      </c>
      <c r="I463" s="46" t="str">
        <f aca="false">IF(OR(D463="",C463=""),IF(D463="","",0),SUMIFS(Payments!$D$8:$D$507,Payments!$C$8:$C$507,D463,Payments!$F$8:$F$507,C463))</f>
        <v/>
      </c>
      <c r="J463" s="46" t="str">
        <f aca="false">IF(D463="","",MIN(P463,MAX(0,R463-Q463)))</f>
        <v/>
      </c>
      <c r="K463" s="47" t="str">
        <f aca="false">IF(D463="","",P463-J463)</f>
        <v/>
      </c>
      <c r="L463" s="55" t="str">
        <f aca="false">IF(OR(D463="",N(K463)&lt;=0,H463=""),"",MAX(0,Setup!$C$11-H463))</f>
        <v/>
      </c>
      <c r="M463" s="54" t="str">
        <f aca="false">IF(OR(D463="",B463=""),"",IF(IFERROR(INDEX(Suppliers!$S$7:$S$106,MATCH(D463,Suppliers!$B$7:$B$106,0)),"")="","–",B463+IFERROR(INDEX(Suppliers!$S$7:$S$106,MATCH(D463,Suppliers!$B$7:$B$106,0)),"")))</f>
        <v/>
      </c>
      <c r="N463" s="56" t="str">
        <f aca="false">IF(D463="","",IF(N(K463)&lt;=0,"Paid",IF(AND(ISNUMBER(M463),Setup!$C$11&gt;M463),"⚠ MSME late",IF(N(L463)&gt;0,"Overdue",IF(N(V463)&lt;=Setup!$C$9,"⚠ MSME due soon",IF(K463&lt;E463,"Part paid","Not due"))))))</f>
        <v/>
      </c>
      <c r="O463" s="50" t="str">
        <f aca="false">IF(AND(D463="",B463="",C463="",E463=""),"",IF(D463="","⚠ Pick supplier",IF(ISNA(MATCH(D463,Suppliers!$B$7:$B$106,0)),"⚠ Supplier not in list",IF(B463="","⚠ Enter bill date",IF(N(E463)&lt;=0,"⚠ Enter amount",IF(AND(C463&lt;&gt;"",COUNTIFS($D$8:$D$507,D463,$C$8:$C$507,C463)&gt;1),"⚠ Bill no. used twice",IF(N(I463)&gt;N(E463),"⚠ Paid more than bill","✔")))))))</f>
        <v/>
      </c>
      <c r="P463" s="9" t="n">
        <f aca="false">IF(D463="",0,MAX(0,N(E463)-N(I463)))</f>
        <v>0</v>
      </c>
      <c r="Q463" s="9" t="n">
        <f aca="false">IF(D463="",0,SUMIFS($P$8:$P$507,$D$8:$D$507,D463,$B$8:$B$507,"&lt;"&amp;B463)+SUMIFS($P$8:P462,$D$8:D462,D463,$B$8:B462,B463))</f>
        <v>0</v>
      </c>
      <c r="R463" s="9" t="n">
        <f aca="false">IF(D463="",0,IFERROR(INDEX(Suppliers!$R$7:$R$106,MATCH(D463,Suppliers!$B$7:$B$106,0)),0))</f>
        <v>0</v>
      </c>
      <c r="S463" s="9" t="str">
        <f aca="false">IF(N(K463)&gt;0,IF(H463="",99999,MIN(H463,IF(ISNUMBER(M463),M463,H463)))+ROW()/100000,"")</f>
        <v/>
      </c>
      <c r="U463" s="9" t="n">
        <f aca="false">IF(N(K463)&gt;0,N(L463),0)</f>
        <v>0</v>
      </c>
      <c r="V463" s="9" t="n">
        <f aca="false">IF(AND(N(K463)&gt;0,ISNUMBER(M463)),M463-Setup!$C$11,99999)</f>
        <v>99999</v>
      </c>
    </row>
    <row r="464" customFormat="false" ht="15" hidden="false" customHeight="false" outlineLevel="0" collapsed="false">
      <c r="A464" s="40" t="str">
        <f aca="false">IF(D464="","",ROW()-7)</f>
        <v/>
      </c>
      <c r="B464" s="79"/>
      <c r="C464" s="75"/>
      <c r="D464" s="76"/>
      <c r="E464" s="80"/>
      <c r="F464" s="79"/>
      <c r="G464" s="76"/>
      <c r="H464" s="54" t="str">
        <f aca="false">IF(OR(D464="",B464=""),"",IF(F464&lt;&gt;"",F464,B464+IFERROR(INDEX(Suppliers!$Q$7:$Q$106,MATCH(D464,Suppliers!$B$7:$B$106,0)),Setup!$C$7)))</f>
        <v/>
      </c>
      <c r="I464" s="46" t="str">
        <f aca="false">IF(OR(D464="",C464=""),IF(D464="","",0),SUMIFS(Payments!$D$8:$D$507,Payments!$C$8:$C$507,D464,Payments!$F$8:$F$507,C464))</f>
        <v/>
      </c>
      <c r="J464" s="46" t="str">
        <f aca="false">IF(D464="","",MIN(P464,MAX(0,R464-Q464)))</f>
        <v/>
      </c>
      <c r="K464" s="47" t="str">
        <f aca="false">IF(D464="","",P464-J464)</f>
        <v/>
      </c>
      <c r="L464" s="55" t="str">
        <f aca="false">IF(OR(D464="",N(K464)&lt;=0,H464=""),"",MAX(0,Setup!$C$11-H464))</f>
        <v/>
      </c>
      <c r="M464" s="54" t="str">
        <f aca="false">IF(OR(D464="",B464=""),"",IF(IFERROR(INDEX(Suppliers!$S$7:$S$106,MATCH(D464,Suppliers!$B$7:$B$106,0)),"")="","–",B464+IFERROR(INDEX(Suppliers!$S$7:$S$106,MATCH(D464,Suppliers!$B$7:$B$106,0)),"")))</f>
        <v/>
      </c>
      <c r="N464" s="56" t="str">
        <f aca="false">IF(D464="","",IF(N(K464)&lt;=0,"Paid",IF(AND(ISNUMBER(M464),Setup!$C$11&gt;M464),"⚠ MSME late",IF(N(L464)&gt;0,"Overdue",IF(N(V464)&lt;=Setup!$C$9,"⚠ MSME due soon",IF(K464&lt;E464,"Part paid","Not due"))))))</f>
        <v/>
      </c>
      <c r="O464" s="50" t="str">
        <f aca="false">IF(AND(D464="",B464="",C464="",E464=""),"",IF(D464="","⚠ Pick supplier",IF(ISNA(MATCH(D464,Suppliers!$B$7:$B$106,0)),"⚠ Supplier not in list",IF(B464="","⚠ Enter bill date",IF(N(E464)&lt;=0,"⚠ Enter amount",IF(AND(C464&lt;&gt;"",COUNTIFS($D$8:$D$507,D464,$C$8:$C$507,C464)&gt;1),"⚠ Bill no. used twice",IF(N(I464)&gt;N(E464),"⚠ Paid more than bill","✔")))))))</f>
        <v/>
      </c>
      <c r="P464" s="9" t="n">
        <f aca="false">IF(D464="",0,MAX(0,N(E464)-N(I464)))</f>
        <v>0</v>
      </c>
      <c r="Q464" s="9" t="n">
        <f aca="false">IF(D464="",0,SUMIFS($P$8:$P$507,$D$8:$D$507,D464,$B$8:$B$507,"&lt;"&amp;B464)+SUMIFS($P$8:P463,$D$8:D463,D464,$B$8:B463,B464))</f>
        <v>0</v>
      </c>
      <c r="R464" s="9" t="n">
        <f aca="false">IF(D464="",0,IFERROR(INDEX(Suppliers!$R$7:$R$106,MATCH(D464,Suppliers!$B$7:$B$106,0)),0))</f>
        <v>0</v>
      </c>
      <c r="S464" s="9" t="str">
        <f aca="false">IF(N(K464)&gt;0,IF(H464="",99999,MIN(H464,IF(ISNUMBER(M464),M464,H464)))+ROW()/100000,"")</f>
        <v/>
      </c>
      <c r="U464" s="9" t="n">
        <f aca="false">IF(N(K464)&gt;0,N(L464),0)</f>
        <v>0</v>
      </c>
      <c r="V464" s="9" t="n">
        <f aca="false">IF(AND(N(K464)&gt;0,ISNUMBER(M464)),M464-Setup!$C$11,99999)</f>
        <v>99999</v>
      </c>
    </row>
    <row r="465" customFormat="false" ht="15" hidden="false" customHeight="false" outlineLevel="0" collapsed="false">
      <c r="A465" s="40" t="str">
        <f aca="false">IF(D465="","",ROW()-7)</f>
        <v/>
      </c>
      <c r="B465" s="79"/>
      <c r="C465" s="75"/>
      <c r="D465" s="76"/>
      <c r="E465" s="80"/>
      <c r="F465" s="79"/>
      <c r="G465" s="76"/>
      <c r="H465" s="54" t="str">
        <f aca="false">IF(OR(D465="",B465=""),"",IF(F465&lt;&gt;"",F465,B465+IFERROR(INDEX(Suppliers!$Q$7:$Q$106,MATCH(D465,Suppliers!$B$7:$B$106,0)),Setup!$C$7)))</f>
        <v/>
      </c>
      <c r="I465" s="46" t="str">
        <f aca="false">IF(OR(D465="",C465=""),IF(D465="","",0),SUMIFS(Payments!$D$8:$D$507,Payments!$C$8:$C$507,D465,Payments!$F$8:$F$507,C465))</f>
        <v/>
      </c>
      <c r="J465" s="46" t="str">
        <f aca="false">IF(D465="","",MIN(P465,MAX(0,R465-Q465)))</f>
        <v/>
      </c>
      <c r="K465" s="47" t="str">
        <f aca="false">IF(D465="","",P465-J465)</f>
        <v/>
      </c>
      <c r="L465" s="55" t="str">
        <f aca="false">IF(OR(D465="",N(K465)&lt;=0,H465=""),"",MAX(0,Setup!$C$11-H465))</f>
        <v/>
      </c>
      <c r="M465" s="54" t="str">
        <f aca="false">IF(OR(D465="",B465=""),"",IF(IFERROR(INDEX(Suppliers!$S$7:$S$106,MATCH(D465,Suppliers!$B$7:$B$106,0)),"")="","–",B465+IFERROR(INDEX(Suppliers!$S$7:$S$106,MATCH(D465,Suppliers!$B$7:$B$106,0)),"")))</f>
        <v/>
      </c>
      <c r="N465" s="56" t="str">
        <f aca="false">IF(D465="","",IF(N(K465)&lt;=0,"Paid",IF(AND(ISNUMBER(M465),Setup!$C$11&gt;M465),"⚠ MSME late",IF(N(L465)&gt;0,"Overdue",IF(N(V465)&lt;=Setup!$C$9,"⚠ MSME due soon",IF(K465&lt;E465,"Part paid","Not due"))))))</f>
        <v/>
      </c>
      <c r="O465" s="50" t="str">
        <f aca="false">IF(AND(D465="",B465="",C465="",E465=""),"",IF(D465="","⚠ Pick supplier",IF(ISNA(MATCH(D465,Suppliers!$B$7:$B$106,0)),"⚠ Supplier not in list",IF(B465="","⚠ Enter bill date",IF(N(E465)&lt;=0,"⚠ Enter amount",IF(AND(C465&lt;&gt;"",COUNTIFS($D$8:$D$507,D465,$C$8:$C$507,C465)&gt;1),"⚠ Bill no. used twice",IF(N(I465)&gt;N(E465),"⚠ Paid more than bill","✔")))))))</f>
        <v/>
      </c>
      <c r="P465" s="9" t="n">
        <f aca="false">IF(D465="",0,MAX(0,N(E465)-N(I465)))</f>
        <v>0</v>
      </c>
      <c r="Q465" s="9" t="n">
        <f aca="false">IF(D465="",0,SUMIFS($P$8:$P$507,$D$8:$D$507,D465,$B$8:$B$507,"&lt;"&amp;B465)+SUMIFS($P$8:P464,$D$8:D464,D465,$B$8:B464,B465))</f>
        <v>0</v>
      </c>
      <c r="R465" s="9" t="n">
        <f aca="false">IF(D465="",0,IFERROR(INDEX(Suppliers!$R$7:$R$106,MATCH(D465,Suppliers!$B$7:$B$106,0)),0))</f>
        <v>0</v>
      </c>
      <c r="S465" s="9" t="str">
        <f aca="false">IF(N(K465)&gt;0,IF(H465="",99999,MIN(H465,IF(ISNUMBER(M465),M465,H465)))+ROW()/100000,"")</f>
        <v/>
      </c>
      <c r="U465" s="9" t="n">
        <f aca="false">IF(N(K465)&gt;0,N(L465),0)</f>
        <v>0</v>
      </c>
      <c r="V465" s="9" t="n">
        <f aca="false">IF(AND(N(K465)&gt;0,ISNUMBER(M465)),M465-Setup!$C$11,99999)</f>
        <v>99999</v>
      </c>
    </row>
    <row r="466" customFormat="false" ht="15" hidden="false" customHeight="false" outlineLevel="0" collapsed="false">
      <c r="A466" s="40" t="str">
        <f aca="false">IF(D466="","",ROW()-7)</f>
        <v/>
      </c>
      <c r="B466" s="79"/>
      <c r="C466" s="75"/>
      <c r="D466" s="76"/>
      <c r="E466" s="80"/>
      <c r="F466" s="79"/>
      <c r="G466" s="76"/>
      <c r="H466" s="54" t="str">
        <f aca="false">IF(OR(D466="",B466=""),"",IF(F466&lt;&gt;"",F466,B466+IFERROR(INDEX(Suppliers!$Q$7:$Q$106,MATCH(D466,Suppliers!$B$7:$B$106,0)),Setup!$C$7)))</f>
        <v/>
      </c>
      <c r="I466" s="46" t="str">
        <f aca="false">IF(OR(D466="",C466=""),IF(D466="","",0),SUMIFS(Payments!$D$8:$D$507,Payments!$C$8:$C$507,D466,Payments!$F$8:$F$507,C466))</f>
        <v/>
      </c>
      <c r="J466" s="46" t="str">
        <f aca="false">IF(D466="","",MIN(P466,MAX(0,R466-Q466)))</f>
        <v/>
      </c>
      <c r="K466" s="47" t="str">
        <f aca="false">IF(D466="","",P466-J466)</f>
        <v/>
      </c>
      <c r="L466" s="55" t="str">
        <f aca="false">IF(OR(D466="",N(K466)&lt;=0,H466=""),"",MAX(0,Setup!$C$11-H466))</f>
        <v/>
      </c>
      <c r="M466" s="54" t="str">
        <f aca="false">IF(OR(D466="",B466=""),"",IF(IFERROR(INDEX(Suppliers!$S$7:$S$106,MATCH(D466,Suppliers!$B$7:$B$106,0)),"")="","–",B466+IFERROR(INDEX(Suppliers!$S$7:$S$106,MATCH(D466,Suppliers!$B$7:$B$106,0)),"")))</f>
        <v/>
      </c>
      <c r="N466" s="56" t="str">
        <f aca="false">IF(D466="","",IF(N(K466)&lt;=0,"Paid",IF(AND(ISNUMBER(M466),Setup!$C$11&gt;M466),"⚠ MSME late",IF(N(L466)&gt;0,"Overdue",IF(N(V466)&lt;=Setup!$C$9,"⚠ MSME due soon",IF(K466&lt;E466,"Part paid","Not due"))))))</f>
        <v/>
      </c>
      <c r="O466" s="50" t="str">
        <f aca="false">IF(AND(D466="",B466="",C466="",E466=""),"",IF(D466="","⚠ Pick supplier",IF(ISNA(MATCH(D466,Suppliers!$B$7:$B$106,0)),"⚠ Supplier not in list",IF(B466="","⚠ Enter bill date",IF(N(E466)&lt;=0,"⚠ Enter amount",IF(AND(C466&lt;&gt;"",COUNTIFS($D$8:$D$507,D466,$C$8:$C$507,C466)&gt;1),"⚠ Bill no. used twice",IF(N(I466)&gt;N(E466),"⚠ Paid more than bill","✔")))))))</f>
        <v/>
      </c>
      <c r="P466" s="9" t="n">
        <f aca="false">IF(D466="",0,MAX(0,N(E466)-N(I466)))</f>
        <v>0</v>
      </c>
      <c r="Q466" s="9" t="n">
        <f aca="false">IF(D466="",0,SUMIFS($P$8:$P$507,$D$8:$D$507,D466,$B$8:$B$507,"&lt;"&amp;B466)+SUMIFS($P$8:P465,$D$8:D465,D466,$B$8:B465,B466))</f>
        <v>0</v>
      </c>
      <c r="R466" s="9" t="n">
        <f aca="false">IF(D466="",0,IFERROR(INDEX(Suppliers!$R$7:$R$106,MATCH(D466,Suppliers!$B$7:$B$106,0)),0))</f>
        <v>0</v>
      </c>
      <c r="S466" s="9" t="str">
        <f aca="false">IF(N(K466)&gt;0,IF(H466="",99999,MIN(H466,IF(ISNUMBER(M466),M466,H466)))+ROW()/100000,"")</f>
        <v/>
      </c>
      <c r="U466" s="9" t="n">
        <f aca="false">IF(N(K466)&gt;0,N(L466),0)</f>
        <v>0</v>
      </c>
      <c r="V466" s="9" t="n">
        <f aca="false">IF(AND(N(K466)&gt;0,ISNUMBER(M466)),M466-Setup!$C$11,99999)</f>
        <v>99999</v>
      </c>
    </row>
    <row r="467" customFormat="false" ht="15" hidden="false" customHeight="false" outlineLevel="0" collapsed="false">
      <c r="A467" s="40" t="str">
        <f aca="false">IF(D467="","",ROW()-7)</f>
        <v/>
      </c>
      <c r="B467" s="79"/>
      <c r="C467" s="75"/>
      <c r="D467" s="76"/>
      <c r="E467" s="80"/>
      <c r="F467" s="79"/>
      <c r="G467" s="76"/>
      <c r="H467" s="54" t="str">
        <f aca="false">IF(OR(D467="",B467=""),"",IF(F467&lt;&gt;"",F467,B467+IFERROR(INDEX(Suppliers!$Q$7:$Q$106,MATCH(D467,Suppliers!$B$7:$B$106,0)),Setup!$C$7)))</f>
        <v/>
      </c>
      <c r="I467" s="46" t="str">
        <f aca="false">IF(OR(D467="",C467=""),IF(D467="","",0),SUMIFS(Payments!$D$8:$D$507,Payments!$C$8:$C$507,D467,Payments!$F$8:$F$507,C467))</f>
        <v/>
      </c>
      <c r="J467" s="46" t="str">
        <f aca="false">IF(D467="","",MIN(P467,MAX(0,R467-Q467)))</f>
        <v/>
      </c>
      <c r="K467" s="47" t="str">
        <f aca="false">IF(D467="","",P467-J467)</f>
        <v/>
      </c>
      <c r="L467" s="55" t="str">
        <f aca="false">IF(OR(D467="",N(K467)&lt;=0,H467=""),"",MAX(0,Setup!$C$11-H467))</f>
        <v/>
      </c>
      <c r="M467" s="54" t="str">
        <f aca="false">IF(OR(D467="",B467=""),"",IF(IFERROR(INDEX(Suppliers!$S$7:$S$106,MATCH(D467,Suppliers!$B$7:$B$106,0)),"")="","–",B467+IFERROR(INDEX(Suppliers!$S$7:$S$106,MATCH(D467,Suppliers!$B$7:$B$106,0)),"")))</f>
        <v/>
      </c>
      <c r="N467" s="56" t="str">
        <f aca="false">IF(D467="","",IF(N(K467)&lt;=0,"Paid",IF(AND(ISNUMBER(M467),Setup!$C$11&gt;M467),"⚠ MSME late",IF(N(L467)&gt;0,"Overdue",IF(N(V467)&lt;=Setup!$C$9,"⚠ MSME due soon",IF(K467&lt;E467,"Part paid","Not due"))))))</f>
        <v/>
      </c>
      <c r="O467" s="50" t="str">
        <f aca="false">IF(AND(D467="",B467="",C467="",E467=""),"",IF(D467="","⚠ Pick supplier",IF(ISNA(MATCH(D467,Suppliers!$B$7:$B$106,0)),"⚠ Supplier not in list",IF(B467="","⚠ Enter bill date",IF(N(E467)&lt;=0,"⚠ Enter amount",IF(AND(C467&lt;&gt;"",COUNTIFS($D$8:$D$507,D467,$C$8:$C$507,C467)&gt;1),"⚠ Bill no. used twice",IF(N(I467)&gt;N(E467),"⚠ Paid more than bill","✔")))))))</f>
        <v/>
      </c>
      <c r="P467" s="9" t="n">
        <f aca="false">IF(D467="",0,MAX(0,N(E467)-N(I467)))</f>
        <v>0</v>
      </c>
      <c r="Q467" s="9" t="n">
        <f aca="false">IF(D467="",0,SUMIFS($P$8:$P$507,$D$8:$D$507,D467,$B$8:$B$507,"&lt;"&amp;B467)+SUMIFS($P$8:P466,$D$8:D466,D467,$B$8:B466,B467))</f>
        <v>0</v>
      </c>
      <c r="R467" s="9" t="n">
        <f aca="false">IF(D467="",0,IFERROR(INDEX(Suppliers!$R$7:$R$106,MATCH(D467,Suppliers!$B$7:$B$106,0)),0))</f>
        <v>0</v>
      </c>
      <c r="S467" s="9" t="str">
        <f aca="false">IF(N(K467)&gt;0,IF(H467="",99999,MIN(H467,IF(ISNUMBER(M467),M467,H467)))+ROW()/100000,"")</f>
        <v/>
      </c>
      <c r="U467" s="9" t="n">
        <f aca="false">IF(N(K467)&gt;0,N(L467),0)</f>
        <v>0</v>
      </c>
      <c r="V467" s="9" t="n">
        <f aca="false">IF(AND(N(K467)&gt;0,ISNUMBER(M467)),M467-Setup!$C$11,99999)</f>
        <v>99999</v>
      </c>
    </row>
    <row r="468" customFormat="false" ht="15" hidden="false" customHeight="false" outlineLevel="0" collapsed="false">
      <c r="A468" s="40" t="str">
        <f aca="false">IF(D468="","",ROW()-7)</f>
        <v/>
      </c>
      <c r="B468" s="79"/>
      <c r="C468" s="75"/>
      <c r="D468" s="76"/>
      <c r="E468" s="80"/>
      <c r="F468" s="79"/>
      <c r="G468" s="76"/>
      <c r="H468" s="54" t="str">
        <f aca="false">IF(OR(D468="",B468=""),"",IF(F468&lt;&gt;"",F468,B468+IFERROR(INDEX(Suppliers!$Q$7:$Q$106,MATCH(D468,Suppliers!$B$7:$B$106,0)),Setup!$C$7)))</f>
        <v/>
      </c>
      <c r="I468" s="46" t="str">
        <f aca="false">IF(OR(D468="",C468=""),IF(D468="","",0),SUMIFS(Payments!$D$8:$D$507,Payments!$C$8:$C$507,D468,Payments!$F$8:$F$507,C468))</f>
        <v/>
      </c>
      <c r="J468" s="46" t="str">
        <f aca="false">IF(D468="","",MIN(P468,MAX(0,R468-Q468)))</f>
        <v/>
      </c>
      <c r="K468" s="47" t="str">
        <f aca="false">IF(D468="","",P468-J468)</f>
        <v/>
      </c>
      <c r="L468" s="55" t="str">
        <f aca="false">IF(OR(D468="",N(K468)&lt;=0,H468=""),"",MAX(0,Setup!$C$11-H468))</f>
        <v/>
      </c>
      <c r="M468" s="54" t="str">
        <f aca="false">IF(OR(D468="",B468=""),"",IF(IFERROR(INDEX(Suppliers!$S$7:$S$106,MATCH(D468,Suppliers!$B$7:$B$106,0)),"")="","–",B468+IFERROR(INDEX(Suppliers!$S$7:$S$106,MATCH(D468,Suppliers!$B$7:$B$106,0)),"")))</f>
        <v/>
      </c>
      <c r="N468" s="56" t="str">
        <f aca="false">IF(D468="","",IF(N(K468)&lt;=0,"Paid",IF(AND(ISNUMBER(M468),Setup!$C$11&gt;M468),"⚠ MSME late",IF(N(L468)&gt;0,"Overdue",IF(N(V468)&lt;=Setup!$C$9,"⚠ MSME due soon",IF(K468&lt;E468,"Part paid","Not due"))))))</f>
        <v/>
      </c>
      <c r="O468" s="50" t="str">
        <f aca="false">IF(AND(D468="",B468="",C468="",E468=""),"",IF(D468="","⚠ Pick supplier",IF(ISNA(MATCH(D468,Suppliers!$B$7:$B$106,0)),"⚠ Supplier not in list",IF(B468="","⚠ Enter bill date",IF(N(E468)&lt;=0,"⚠ Enter amount",IF(AND(C468&lt;&gt;"",COUNTIFS($D$8:$D$507,D468,$C$8:$C$507,C468)&gt;1),"⚠ Bill no. used twice",IF(N(I468)&gt;N(E468),"⚠ Paid more than bill","✔")))))))</f>
        <v/>
      </c>
      <c r="P468" s="9" t="n">
        <f aca="false">IF(D468="",0,MAX(0,N(E468)-N(I468)))</f>
        <v>0</v>
      </c>
      <c r="Q468" s="9" t="n">
        <f aca="false">IF(D468="",0,SUMIFS($P$8:$P$507,$D$8:$D$507,D468,$B$8:$B$507,"&lt;"&amp;B468)+SUMIFS($P$8:P467,$D$8:D467,D468,$B$8:B467,B468))</f>
        <v>0</v>
      </c>
      <c r="R468" s="9" t="n">
        <f aca="false">IF(D468="",0,IFERROR(INDEX(Suppliers!$R$7:$R$106,MATCH(D468,Suppliers!$B$7:$B$106,0)),0))</f>
        <v>0</v>
      </c>
      <c r="S468" s="9" t="str">
        <f aca="false">IF(N(K468)&gt;0,IF(H468="",99999,MIN(H468,IF(ISNUMBER(M468),M468,H468)))+ROW()/100000,"")</f>
        <v/>
      </c>
      <c r="U468" s="9" t="n">
        <f aca="false">IF(N(K468)&gt;0,N(L468),0)</f>
        <v>0</v>
      </c>
      <c r="V468" s="9" t="n">
        <f aca="false">IF(AND(N(K468)&gt;0,ISNUMBER(M468)),M468-Setup!$C$11,99999)</f>
        <v>99999</v>
      </c>
    </row>
    <row r="469" customFormat="false" ht="15" hidden="false" customHeight="false" outlineLevel="0" collapsed="false">
      <c r="A469" s="40" t="str">
        <f aca="false">IF(D469="","",ROW()-7)</f>
        <v/>
      </c>
      <c r="B469" s="79"/>
      <c r="C469" s="75"/>
      <c r="D469" s="76"/>
      <c r="E469" s="80"/>
      <c r="F469" s="79"/>
      <c r="G469" s="76"/>
      <c r="H469" s="54" t="str">
        <f aca="false">IF(OR(D469="",B469=""),"",IF(F469&lt;&gt;"",F469,B469+IFERROR(INDEX(Suppliers!$Q$7:$Q$106,MATCH(D469,Suppliers!$B$7:$B$106,0)),Setup!$C$7)))</f>
        <v/>
      </c>
      <c r="I469" s="46" t="str">
        <f aca="false">IF(OR(D469="",C469=""),IF(D469="","",0),SUMIFS(Payments!$D$8:$D$507,Payments!$C$8:$C$507,D469,Payments!$F$8:$F$507,C469))</f>
        <v/>
      </c>
      <c r="J469" s="46" t="str">
        <f aca="false">IF(D469="","",MIN(P469,MAX(0,R469-Q469)))</f>
        <v/>
      </c>
      <c r="K469" s="47" t="str">
        <f aca="false">IF(D469="","",P469-J469)</f>
        <v/>
      </c>
      <c r="L469" s="55" t="str">
        <f aca="false">IF(OR(D469="",N(K469)&lt;=0,H469=""),"",MAX(0,Setup!$C$11-H469))</f>
        <v/>
      </c>
      <c r="M469" s="54" t="str">
        <f aca="false">IF(OR(D469="",B469=""),"",IF(IFERROR(INDEX(Suppliers!$S$7:$S$106,MATCH(D469,Suppliers!$B$7:$B$106,0)),"")="","–",B469+IFERROR(INDEX(Suppliers!$S$7:$S$106,MATCH(D469,Suppliers!$B$7:$B$106,0)),"")))</f>
        <v/>
      </c>
      <c r="N469" s="56" t="str">
        <f aca="false">IF(D469="","",IF(N(K469)&lt;=0,"Paid",IF(AND(ISNUMBER(M469),Setup!$C$11&gt;M469),"⚠ MSME late",IF(N(L469)&gt;0,"Overdue",IF(N(V469)&lt;=Setup!$C$9,"⚠ MSME due soon",IF(K469&lt;E469,"Part paid","Not due"))))))</f>
        <v/>
      </c>
      <c r="O469" s="50" t="str">
        <f aca="false">IF(AND(D469="",B469="",C469="",E469=""),"",IF(D469="","⚠ Pick supplier",IF(ISNA(MATCH(D469,Suppliers!$B$7:$B$106,0)),"⚠ Supplier not in list",IF(B469="","⚠ Enter bill date",IF(N(E469)&lt;=0,"⚠ Enter amount",IF(AND(C469&lt;&gt;"",COUNTIFS($D$8:$D$507,D469,$C$8:$C$507,C469)&gt;1),"⚠ Bill no. used twice",IF(N(I469)&gt;N(E469),"⚠ Paid more than bill","✔")))))))</f>
        <v/>
      </c>
      <c r="P469" s="9" t="n">
        <f aca="false">IF(D469="",0,MAX(0,N(E469)-N(I469)))</f>
        <v>0</v>
      </c>
      <c r="Q469" s="9" t="n">
        <f aca="false">IF(D469="",0,SUMIFS($P$8:$P$507,$D$8:$D$507,D469,$B$8:$B$507,"&lt;"&amp;B469)+SUMIFS($P$8:P468,$D$8:D468,D469,$B$8:B468,B469))</f>
        <v>0</v>
      </c>
      <c r="R469" s="9" t="n">
        <f aca="false">IF(D469="",0,IFERROR(INDEX(Suppliers!$R$7:$R$106,MATCH(D469,Suppliers!$B$7:$B$106,0)),0))</f>
        <v>0</v>
      </c>
      <c r="S469" s="9" t="str">
        <f aca="false">IF(N(K469)&gt;0,IF(H469="",99999,MIN(H469,IF(ISNUMBER(M469),M469,H469)))+ROW()/100000,"")</f>
        <v/>
      </c>
      <c r="U469" s="9" t="n">
        <f aca="false">IF(N(K469)&gt;0,N(L469),0)</f>
        <v>0</v>
      </c>
      <c r="V469" s="9" t="n">
        <f aca="false">IF(AND(N(K469)&gt;0,ISNUMBER(M469)),M469-Setup!$C$11,99999)</f>
        <v>99999</v>
      </c>
    </row>
    <row r="470" customFormat="false" ht="15" hidden="false" customHeight="false" outlineLevel="0" collapsed="false">
      <c r="A470" s="40" t="str">
        <f aca="false">IF(D470="","",ROW()-7)</f>
        <v/>
      </c>
      <c r="B470" s="79"/>
      <c r="C470" s="75"/>
      <c r="D470" s="76"/>
      <c r="E470" s="80"/>
      <c r="F470" s="79"/>
      <c r="G470" s="76"/>
      <c r="H470" s="54" t="str">
        <f aca="false">IF(OR(D470="",B470=""),"",IF(F470&lt;&gt;"",F470,B470+IFERROR(INDEX(Suppliers!$Q$7:$Q$106,MATCH(D470,Suppliers!$B$7:$B$106,0)),Setup!$C$7)))</f>
        <v/>
      </c>
      <c r="I470" s="46" t="str">
        <f aca="false">IF(OR(D470="",C470=""),IF(D470="","",0),SUMIFS(Payments!$D$8:$D$507,Payments!$C$8:$C$507,D470,Payments!$F$8:$F$507,C470))</f>
        <v/>
      </c>
      <c r="J470" s="46" t="str">
        <f aca="false">IF(D470="","",MIN(P470,MAX(0,R470-Q470)))</f>
        <v/>
      </c>
      <c r="K470" s="47" t="str">
        <f aca="false">IF(D470="","",P470-J470)</f>
        <v/>
      </c>
      <c r="L470" s="55" t="str">
        <f aca="false">IF(OR(D470="",N(K470)&lt;=0,H470=""),"",MAX(0,Setup!$C$11-H470))</f>
        <v/>
      </c>
      <c r="M470" s="54" t="str">
        <f aca="false">IF(OR(D470="",B470=""),"",IF(IFERROR(INDEX(Suppliers!$S$7:$S$106,MATCH(D470,Suppliers!$B$7:$B$106,0)),"")="","–",B470+IFERROR(INDEX(Suppliers!$S$7:$S$106,MATCH(D470,Suppliers!$B$7:$B$106,0)),"")))</f>
        <v/>
      </c>
      <c r="N470" s="56" t="str">
        <f aca="false">IF(D470="","",IF(N(K470)&lt;=0,"Paid",IF(AND(ISNUMBER(M470),Setup!$C$11&gt;M470),"⚠ MSME late",IF(N(L470)&gt;0,"Overdue",IF(N(V470)&lt;=Setup!$C$9,"⚠ MSME due soon",IF(K470&lt;E470,"Part paid","Not due"))))))</f>
        <v/>
      </c>
      <c r="O470" s="50" t="str">
        <f aca="false">IF(AND(D470="",B470="",C470="",E470=""),"",IF(D470="","⚠ Pick supplier",IF(ISNA(MATCH(D470,Suppliers!$B$7:$B$106,0)),"⚠ Supplier not in list",IF(B470="","⚠ Enter bill date",IF(N(E470)&lt;=0,"⚠ Enter amount",IF(AND(C470&lt;&gt;"",COUNTIFS($D$8:$D$507,D470,$C$8:$C$507,C470)&gt;1),"⚠ Bill no. used twice",IF(N(I470)&gt;N(E470),"⚠ Paid more than bill","✔")))))))</f>
        <v/>
      </c>
      <c r="P470" s="9" t="n">
        <f aca="false">IF(D470="",0,MAX(0,N(E470)-N(I470)))</f>
        <v>0</v>
      </c>
      <c r="Q470" s="9" t="n">
        <f aca="false">IF(D470="",0,SUMIFS($P$8:$P$507,$D$8:$D$507,D470,$B$8:$B$507,"&lt;"&amp;B470)+SUMIFS($P$8:P469,$D$8:D469,D470,$B$8:B469,B470))</f>
        <v>0</v>
      </c>
      <c r="R470" s="9" t="n">
        <f aca="false">IF(D470="",0,IFERROR(INDEX(Suppliers!$R$7:$R$106,MATCH(D470,Suppliers!$B$7:$B$106,0)),0))</f>
        <v>0</v>
      </c>
      <c r="S470" s="9" t="str">
        <f aca="false">IF(N(K470)&gt;0,IF(H470="",99999,MIN(H470,IF(ISNUMBER(M470),M470,H470)))+ROW()/100000,"")</f>
        <v/>
      </c>
      <c r="U470" s="9" t="n">
        <f aca="false">IF(N(K470)&gt;0,N(L470),0)</f>
        <v>0</v>
      </c>
      <c r="V470" s="9" t="n">
        <f aca="false">IF(AND(N(K470)&gt;0,ISNUMBER(M470)),M470-Setup!$C$11,99999)</f>
        <v>99999</v>
      </c>
    </row>
    <row r="471" customFormat="false" ht="15" hidden="false" customHeight="false" outlineLevel="0" collapsed="false">
      <c r="A471" s="40" t="str">
        <f aca="false">IF(D471="","",ROW()-7)</f>
        <v/>
      </c>
      <c r="B471" s="79"/>
      <c r="C471" s="75"/>
      <c r="D471" s="76"/>
      <c r="E471" s="80"/>
      <c r="F471" s="79"/>
      <c r="G471" s="76"/>
      <c r="H471" s="54" t="str">
        <f aca="false">IF(OR(D471="",B471=""),"",IF(F471&lt;&gt;"",F471,B471+IFERROR(INDEX(Suppliers!$Q$7:$Q$106,MATCH(D471,Suppliers!$B$7:$B$106,0)),Setup!$C$7)))</f>
        <v/>
      </c>
      <c r="I471" s="46" t="str">
        <f aca="false">IF(OR(D471="",C471=""),IF(D471="","",0),SUMIFS(Payments!$D$8:$D$507,Payments!$C$8:$C$507,D471,Payments!$F$8:$F$507,C471))</f>
        <v/>
      </c>
      <c r="J471" s="46" t="str">
        <f aca="false">IF(D471="","",MIN(P471,MAX(0,R471-Q471)))</f>
        <v/>
      </c>
      <c r="K471" s="47" t="str">
        <f aca="false">IF(D471="","",P471-J471)</f>
        <v/>
      </c>
      <c r="L471" s="55" t="str">
        <f aca="false">IF(OR(D471="",N(K471)&lt;=0,H471=""),"",MAX(0,Setup!$C$11-H471))</f>
        <v/>
      </c>
      <c r="M471" s="54" t="str">
        <f aca="false">IF(OR(D471="",B471=""),"",IF(IFERROR(INDEX(Suppliers!$S$7:$S$106,MATCH(D471,Suppliers!$B$7:$B$106,0)),"")="","–",B471+IFERROR(INDEX(Suppliers!$S$7:$S$106,MATCH(D471,Suppliers!$B$7:$B$106,0)),"")))</f>
        <v/>
      </c>
      <c r="N471" s="56" t="str">
        <f aca="false">IF(D471="","",IF(N(K471)&lt;=0,"Paid",IF(AND(ISNUMBER(M471),Setup!$C$11&gt;M471),"⚠ MSME late",IF(N(L471)&gt;0,"Overdue",IF(N(V471)&lt;=Setup!$C$9,"⚠ MSME due soon",IF(K471&lt;E471,"Part paid","Not due"))))))</f>
        <v/>
      </c>
      <c r="O471" s="50" t="str">
        <f aca="false">IF(AND(D471="",B471="",C471="",E471=""),"",IF(D471="","⚠ Pick supplier",IF(ISNA(MATCH(D471,Suppliers!$B$7:$B$106,0)),"⚠ Supplier not in list",IF(B471="","⚠ Enter bill date",IF(N(E471)&lt;=0,"⚠ Enter amount",IF(AND(C471&lt;&gt;"",COUNTIFS($D$8:$D$507,D471,$C$8:$C$507,C471)&gt;1),"⚠ Bill no. used twice",IF(N(I471)&gt;N(E471),"⚠ Paid more than bill","✔")))))))</f>
        <v/>
      </c>
      <c r="P471" s="9" t="n">
        <f aca="false">IF(D471="",0,MAX(0,N(E471)-N(I471)))</f>
        <v>0</v>
      </c>
      <c r="Q471" s="9" t="n">
        <f aca="false">IF(D471="",0,SUMIFS($P$8:$P$507,$D$8:$D$507,D471,$B$8:$B$507,"&lt;"&amp;B471)+SUMIFS($P$8:P470,$D$8:D470,D471,$B$8:B470,B471))</f>
        <v>0</v>
      </c>
      <c r="R471" s="9" t="n">
        <f aca="false">IF(D471="",0,IFERROR(INDEX(Suppliers!$R$7:$R$106,MATCH(D471,Suppliers!$B$7:$B$106,0)),0))</f>
        <v>0</v>
      </c>
      <c r="S471" s="9" t="str">
        <f aca="false">IF(N(K471)&gt;0,IF(H471="",99999,MIN(H471,IF(ISNUMBER(M471),M471,H471)))+ROW()/100000,"")</f>
        <v/>
      </c>
      <c r="U471" s="9" t="n">
        <f aca="false">IF(N(K471)&gt;0,N(L471),0)</f>
        <v>0</v>
      </c>
      <c r="V471" s="9" t="n">
        <f aca="false">IF(AND(N(K471)&gt;0,ISNUMBER(M471)),M471-Setup!$C$11,99999)</f>
        <v>99999</v>
      </c>
    </row>
    <row r="472" customFormat="false" ht="15" hidden="false" customHeight="false" outlineLevel="0" collapsed="false">
      <c r="A472" s="40" t="str">
        <f aca="false">IF(D472="","",ROW()-7)</f>
        <v/>
      </c>
      <c r="B472" s="79"/>
      <c r="C472" s="75"/>
      <c r="D472" s="76"/>
      <c r="E472" s="80"/>
      <c r="F472" s="79"/>
      <c r="G472" s="76"/>
      <c r="H472" s="54" t="str">
        <f aca="false">IF(OR(D472="",B472=""),"",IF(F472&lt;&gt;"",F472,B472+IFERROR(INDEX(Suppliers!$Q$7:$Q$106,MATCH(D472,Suppliers!$B$7:$B$106,0)),Setup!$C$7)))</f>
        <v/>
      </c>
      <c r="I472" s="46" t="str">
        <f aca="false">IF(OR(D472="",C472=""),IF(D472="","",0),SUMIFS(Payments!$D$8:$D$507,Payments!$C$8:$C$507,D472,Payments!$F$8:$F$507,C472))</f>
        <v/>
      </c>
      <c r="J472" s="46" t="str">
        <f aca="false">IF(D472="","",MIN(P472,MAX(0,R472-Q472)))</f>
        <v/>
      </c>
      <c r="K472" s="47" t="str">
        <f aca="false">IF(D472="","",P472-J472)</f>
        <v/>
      </c>
      <c r="L472" s="55" t="str">
        <f aca="false">IF(OR(D472="",N(K472)&lt;=0,H472=""),"",MAX(0,Setup!$C$11-H472))</f>
        <v/>
      </c>
      <c r="M472" s="54" t="str">
        <f aca="false">IF(OR(D472="",B472=""),"",IF(IFERROR(INDEX(Suppliers!$S$7:$S$106,MATCH(D472,Suppliers!$B$7:$B$106,0)),"")="","–",B472+IFERROR(INDEX(Suppliers!$S$7:$S$106,MATCH(D472,Suppliers!$B$7:$B$106,0)),"")))</f>
        <v/>
      </c>
      <c r="N472" s="56" t="str">
        <f aca="false">IF(D472="","",IF(N(K472)&lt;=0,"Paid",IF(AND(ISNUMBER(M472),Setup!$C$11&gt;M472),"⚠ MSME late",IF(N(L472)&gt;0,"Overdue",IF(N(V472)&lt;=Setup!$C$9,"⚠ MSME due soon",IF(K472&lt;E472,"Part paid","Not due"))))))</f>
        <v/>
      </c>
      <c r="O472" s="50" t="str">
        <f aca="false">IF(AND(D472="",B472="",C472="",E472=""),"",IF(D472="","⚠ Pick supplier",IF(ISNA(MATCH(D472,Suppliers!$B$7:$B$106,0)),"⚠ Supplier not in list",IF(B472="","⚠ Enter bill date",IF(N(E472)&lt;=0,"⚠ Enter amount",IF(AND(C472&lt;&gt;"",COUNTIFS($D$8:$D$507,D472,$C$8:$C$507,C472)&gt;1),"⚠ Bill no. used twice",IF(N(I472)&gt;N(E472),"⚠ Paid more than bill","✔")))))))</f>
        <v/>
      </c>
      <c r="P472" s="9" t="n">
        <f aca="false">IF(D472="",0,MAX(0,N(E472)-N(I472)))</f>
        <v>0</v>
      </c>
      <c r="Q472" s="9" t="n">
        <f aca="false">IF(D472="",0,SUMIFS($P$8:$P$507,$D$8:$D$507,D472,$B$8:$B$507,"&lt;"&amp;B472)+SUMIFS($P$8:P471,$D$8:D471,D472,$B$8:B471,B472))</f>
        <v>0</v>
      </c>
      <c r="R472" s="9" t="n">
        <f aca="false">IF(D472="",0,IFERROR(INDEX(Suppliers!$R$7:$R$106,MATCH(D472,Suppliers!$B$7:$B$106,0)),0))</f>
        <v>0</v>
      </c>
      <c r="S472" s="9" t="str">
        <f aca="false">IF(N(K472)&gt;0,IF(H472="",99999,MIN(H472,IF(ISNUMBER(M472),M472,H472)))+ROW()/100000,"")</f>
        <v/>
      </c>
      <c r="U472" s="9" t="n">
        <f aca="false">IF(N(K472)&gt;0,N(L472),0)</f>
        <v>0</v>
      </c>
      <c r="V472" s="9" t="n">
        <f aca="false">IF(AND(N(K472)&gt;0,ISNUMBER(M472)),M472-Setup!$C$11,99999)</f>
        <v>99999</v>
      </c>
    </row>
    <row r="473" customFormat="false" ht="15" hidden="false" customHeight="false" outlineLevel="0" collapsed="false">
      <c r="A473" s="40" t="str">
        <f aca="false">IF(D473="","",ROW()-7)</f>
        <v/>
      </c>
      <c r="B473" s="79"/>
      <c r="C473" s="75"/>
      <c r="D473" s="76"/>
      <c r="E473" s="80"/>
      <c r="F473" s="79"/>
      <c r="G473" s="76"/>
      <c r="H473" s="54" t="str">
        <f aca="false">IF(OR(D473="",B473=""),"",IF(F473&lt;&gt;"",F473,B473+IFERROR(INDEX(Suppliers!$Q$7:$Q$106,MATCH(D473,Suppliers!$B$7:$B$106,0)),Setup!$C$7)))</f>
        <v/>
      </c>
      <c r="I473" s="46" t="str">
        <f aca="false">IF(OR(D473="",C473=""),IF(D473="","",0),SUMIFS(Payments!$D$8:$D$507,Payments!$C$8:$C$507,D473,Payments!$F$8:$F$507,C473))</f>
        <v/>
      </c>
      <c r="J473" s="46" t="str">
        <f aca="false">IF(D473="","",MIN(P473,MAX(0,R473-Q473)))</f>
        <v/>
      </c>
      <c r="K473" s="47" t="str">
        <f aca="false">IF(D473="","",P473-J473)</f>
        <v/>
      </c>
      <c r="L473" s="55" t="str">
        <f aca="false">IF(OR(D473="",N(K473)&lt;=0,H473=""),"",MAX(0,Setup!$C$11-H473))</f>
        <v/>
      </c>
      <c r="M473" s="54" t="str">
        <f aca="false">IF(OR(D473="",B473=""),"",IF(IFERROR(INDEX(Suppliers!$S$7:$S$106,MATCH(D473,Suppliers!$B$7:$B$106,0)),"")="","–",B473+IFERROR(INDEX(Suppliers!$S$7:$S$106,MATCH(D473,Suppliers!$B$7:$B$106,0)),"")))</f>
        <v/>
      </c>
      <c r="N473" s="56" t="str">
        <f aca="false">IF(D473="","",IF(N(K473)&lt;=0,"Paid",IF(AND(ISNUMBER(M473),Setup!$C$11&gt;M473),"⚠ MSME late",IF(N(L473)&gt;0,"Overdue",IF(N(V473)&lt;=Setup!$C$9,"⚠ MSME due soon",IF(K473&lt;E473,"Part paid","Not due"))))))</f>
        <v/>
      </c>
      <c r="O473" s="50" t="str">
        <f aca="false">IF(AND(D473="",B473="",C473="",E473=""),"",IF(D473="","⚠ Pick supplier",IF(ISNA(MATCH(D473,Suppliers!$B$7:$B$106,0)),"⚠ Supplier not in list",IF(B473="","⚠ Enter bill date",IF(N(E473)&lt;=0,"⚠ Enter amount",IF(AND(C473&lt;&gt;"",COUNTIFS($D$8:$D$507,D473,$C$8:$C$507,C473)&gt;1),"⚠ Bill no. used twice",IF(N(I473)&gt;N(E473),"⚠ Paid more than bill","✔")))))))</f>
        <v/>
      </c>
      <c r="P473" s="9" t="n">
        <f aca="false">IF(D473="",0,MAX(0,N(E473)-N(I473)))</f>
        <v>0</v>
      </c>
      <c r="Q473" s="9" t="n">
        <f aca="false">IF(D473="",0,SUMIFS($P$8:$P$507,$D$8:$D$507,D473,$B$8:$B$507,"&lt;"&amp;B473)+SUMIFS($P$8:P472,$D$8:D472,D473,$B$8:B472,B473))</f>
        <v>0</v>
      </c>
      <c r="R473" s="9" t="n">
        <f aca="false">IF(D473="",0,IFERROR(INDEX(Suppliers!$R$7:$R$106,MATCH(D473,Suppliers!$B$7:$B$106,0)),0))</f>
        <v>0</v>
      </c>
      <c r="S473" s="9" t="str">
        <f aca="false">IF(N(K473)&gt;0,IF(H473="",99999,MIN(H473,IF(ISNUMBER(M473),M473,H473)))+ROW()/100000,"")</f>
        <v/>
      </c>
      <c r="U473" s="9" t="n">
        <f aca="false">IF(N(K473)&gt;0,N(L473),0)</f>
        <v>0</v>
      </c>
      <c r="V473" s="9" t="n">
        <f aca="false">IF(AND(N(K473)&gt;0,ISNUMBER(M473)),M473-Setup!$C$11,99999)</f>
        <v>99999</v>
      </c>
    </row>
    <row r="474" customFormat="false" ht="15" hidden="false" customHeight="false" outlineLevel="0" collapsed="false">
      <c r="A474" s="40" t="str">
        <f aca="false">IF(D474="","",ROW()-7)</f>
        <v/>
      </c>
      <c r="B474" s="79"/>
      <c r="C474" s="75"/>
      <c r="D474" s="76"/>
      <c r="E474" s="80"/>
      <c r="F474" s="79"/>
      <c r="G474" s="76"/>
      <c r="H474" s="54" t="str">
        <f aca="false">IF(OR(D474="",B474=""),"",IF(F474&lt;&gt;"",F474,B474+IFERROR(INDEX(Suppliers!$Q$7:$Q$106,MATCH(D474,Suppliers!$B$7:$B$106,0)),Setup!$C$7)))</f>
        <v/>
      </c>
      <c r="I474" s="46" t="str">
        <f aca="false">IF(OR(D474="",C474=""),IF(D474="","",0),SUMIFS(Payments!$D$8:$D$507,Payments!$C$8:$C$507,D474,Payments!$F$8:$F$507,C474))</f>
        <v/>
      </c>
      <c r="J474" s="46" t="str">
        <f aca="false">IF(D474="","",MIN(P474,MAX(0,R474-Q474)))</f>
        <v/>
      </c>
      <c r="K474" s="47" t="str">
        <f aca="false">IF(D474="","",P474-J474)</f>
        <v/>
      </c>
      <c r="L474" s="55" t="str">
        <f aca="false">IF(OR(D474="",N(K474)&lt;=0,H474=""),"",MAX(0,Setup!$C$11-H474))</f>
        <v/>
      </c>
      <c r="M474" s="54" t="str">
        <f aca="false">IF(OR(D474="",B474=""),"",IF(IFERROR(INDEX(Suppliers!$S$7:$S$106,MATCH(D474,Suppliers!$B$7:$B$106,0)),"")="","–",B474+IFERROR(INDEX(Suppliers!$S$7:$S$106,MATCH(D474,Suppliers!$B$7:$B$106,0)),"")))</f>
        <v/>
      </c>
      <c r="N474" s="56" t="str">
        <f aca="false">IF(D474="","",IF(N(K474)&lt;=0,"Paid",IF(AND(ISNUMBER(M474),Setup!$C$11&gt;M474),"⚠ MSME late",IF(N(L474)&gt;0,"Overdue",IF(N(V474)&lt;=Setup!$C$9,"⚠ MSME due soon",IF(K474&lt;E474,"Part paid","Not due"))))))</f>
        <v/>
      </c>
      <c r="O474" s="50" t="str">
        <f aca="false">IF(AND(D474="",B474="",C474="",E474=""),"",IF(D474="","⚠ Pick supplier",IF(ISNA(MATCH(D474,Suppliers!$B$7:$B$106,0)),"⚠ Supplier not in list",IF(B474="","⚠ Enter bill date",IF(N(E474)&lt;=0,"⚠ Enter amount",IF(AND(C474&lt;&gt;"",COUNTIFS($D$8:$D$507,D474,$C$8:$C$507,C474)&gt;1),"⚠ Bill no. used twice",IF(N(I474)&gt;N(E474),"⚠ Paid more than bill","✔")))))))</f>
        <v/>
      </c>
      <c r="P474" s="9" t="n">
        <f aca="false">IF(D474="",0,MAX(0,N(E474)-N(I474)))</f>
        <v>0</v>
      </c>
      <c r="Q474" s="9" t="n">
        <f aca="false">IF(D474="",0,SUMIFS($P$8:$P$507,$D$8:$D$507,D474,$B$8:$B$507,"&lt;"&amp;B474)+SUMIFS($P$8:P473,$D$8:D473,D474,$B$8:B473,B474))</f>
        <v>0</v>
      </c>
      <c r="R474" s="9" t="n">
        <f aca="false">IF(D474="",0,IFERROR(INDEX(Suppliers!$R$7:$R$106,MATCH(D474,Suppliers!$B$7:$B$106,0)),0))</f>
        <v>0</v>
      </c>
      <c r="S474" s="9" t="str">
        <f aca="false">IF(N(K474)&gt;0,IF(H474="",99999,MIN(H474,IF(ISNUMBER(M474),M474,H474)))+ROW()/100000,"")</f>
        <v/>
      </c>
      <c r="U474" s="9" t="n">
        <f aca="false">IF(N(K474)&gt;0,N(L474),0)</f>
        <v>0</v>
      </c>
      <c r="V474" s="9" t="n">
        <f aca="false">IF(AND(N(K474)&gt;0,ISNUMBER(M474)),M474-Setup!$C$11,99999)</f>
        <v>99999</v>
      </c>
    </row>
    <row r="475" customFormat="false" ht="15" hidden="false" customHeight="false" outlineLevel="0" collapsed="false">
      <c r="A475" s="40" t="str">
        <f aca="false">IF(D475="","",ROW()-7)</f>
        <v/>
      </c>
      <c r="B475" s="79"/>
      <c r="C475" s="75"/>
      <c r="D475" s="76"/>
      <c r="E475" s="80"/>
      <c r="F475" s="79"/>
      <c r="G475" s="76"/>
      <c r="H475" s="54" t="str">
        <f aca="false">IF(OR(D475="",B475=""),"",IF(F475&lt;&gt;"",F475,B475+IFERROR(INDEX(Suppliers!$Q$7:$Q$106,MATCH(D475,Suppliers!$B$7:$B$106,0)),Setup!$C$7)))</f>
        <v/>
      </c>
      <c r="I475" s="46" t="str">
        <f aca="false">IF(OR(D475="",C475=""),IF(D475="","",0),SUMIFS(Payments!$D$8:$D$507,Payments!$C$8:$C$507,D475,Payments!$F$8:$F$507,C475))</f>
        <v/>
      </c>
      <c r="J475" s="46" t="str">
        <f aca="false">IF(D475="","",MIN(P475,MAX(0,R475-Q475)))</f>
        <v/>
      </c>
      <c r="K475" s="47" t="str">
        <f aca="false">IF(D475="","",P475-J475)</f>
        <v/>
      </c>
      <c r="L475" s="55" t="str">
        <f aca="false">IF(OR(D475="",N(K475)&lt;=0,H475=""),"",MAX(0,Setup!$C$11-H475))</f>
        <v/>
      </c>
      <c r="M475" s="54" t="str">
        <f aca="false">IF(OR(D475="",B475=""),"",IF(IFERROR(INDEX(Suppliers!$S$7:$S$106,MATCH(D475,Suppliers!$B$7:$B$106,0)),"")="","–",B475+IFERROR(INDEX(Suppliers!$S$7:$S$106,MATCH(D475,Suppliers!$B$7:$B$106,0)),"")))</f>
        <v/>
      </c>
      <c r="N475" s="56" t="str">
        <f aca="false">IF(D475="","",IF(N(K475)&lt;=0,"Paid",IF(AND(ISNUMBER(M475),Setup!$C$11&gt;M475),"⚠ MSME late",IF(N(L475)&gt;0,"Overdue",IF(N(V475)&lt;=Setup!$C$9,"⚠ MSME due soon",IF(K475&lt;E475,"Part paid","Not due"))))))</f>
        <v/>
      </c>
      <c r="O475" s="50" t="str">
        <f aca="false">IF(AND(D475="",B475="",C475="",E475=""),"",IF(D475="","⚠ Pick supplier",IF(ISNA(MATCH(D475,Suppliers!$B$7:$B$106,0)),"⚠ Supplier not in list",IF(B475="","⚠ Enter bill date",IF(N(E475)&lt;=0,"⚠ Enter amount",IF(AND(C475&lt;&gt;"",COUNTIFS($D$8:$D$507,D475,$C$8:$C$507,C475)&gt;1),"⚠ Bill no. used twice",IF(N(I475)&gt;N(E475),"⚠ Paid more than bill","✔")))))))</f>
        <v/>
      </c>
      <c r="P475" s="9" t="n">
        <f aca="false">IF(D475="",0,MAX(0,N(E475)-N(I475)))</f>
        <v>0</v>
      </c>
      <c r="Q475" s="9" t="n">
        <f aca="false">IF(D475="",0,SUMIFS($P$8:$P$507,$D$8:$D$507,D475,$B$8:$B$507,"&lt;"&amp;B475)+SUMIFS($P$8:P474,$D$8:D474,D475,$B$8:B474,B475))</f>
        <v>0</v>
      </c>
      <c r="R475" s="9" t="n">
        <f aca="false">IF(D475="",0,IFERROR(INDEX(Suppliers!$R$7:$R$106,MATCH(D475,Suppliers!$B$7:$B$106,0)),0))</f>
        <v>0</v>
      </c>
      <c r="S475" s="9" t="str">
        <f aca="false">IF(N(K475)&gt;0,IF(H475="",99999,MIN(H475,IF(ISNUMBER(M475),M475,H475)))+ROW()/100000,"")</f>
        <v/>
      </c>
      <c r="U475" s="9" t="n">
        <f aca="false">IF(N(K475)&gt;0,N(L475),0)</f>
        <v>0</v>
      </c>
      <c r="V475" s="9" t="n">
        <f aca="false">IF(AND(N(K475)&gt;0,ISNUMBER(M475)),M475-Setup!$C$11,99999)</f>
        <v>99999</v>
      </c>
    </row>
    <row r="476" customFormat="false" ht="15" hidden="false" customHeight="false" outlineLevel="0" collapsed="false">
      <c r="A476" s="40" t="str">
        <f aca="false">IF(D476="","",ROW()-7)</f>
        <v/>
      </c>
      <c r="B476" s="79"/>
      <c r="C476" s="75"/>
      <c r="D476" s="76"/>
      <c r="E476" s="80"/>
      <c r="F476" s="79"/>
      <c r="G476" s="76"/>
      <c r="H476" s="54" t="str">
        <f aca="false">IF(OR(D476="",B476=""),"",IF(F476&lt;&gt;"",F476,B476+IFERROR(INDEX(Suppliers!$Q$7:$Q$106,MATCH(D476,Suppliers!$B$7:$B$106,0)),Setup!$C$7)))</f>
        <v/>
      </c>
      <c r="I476" s="46" t="str">
        <f aca="false">IF(OR(D476="",C476=""),IF(D476="","",0),SUMIFS(Payments!$D$8:$D$507,Payments!$C$8:$C$507,D476,Payments!$F$8:$F$507,C476))</f>
        <v/>
      </c>
      <c r="J476" s="46" t="str">
        <f aca="false">IF(D476="","",MIN(P476,MAX(0,R476-Q476)))</f>
        <v/>
      </c>
      <c r="K476" s="47" t="str">
        <f aca="false">IF(D476="","",P476-J476)</f>
        <v/>
      </c>
      <c r="L476" s="55" t="str">
        <f aca="false">IF(OR(D476="",N(K476)&lt;=0,H476=""),"",MAX(0,Setup!$C$11-H476))</f>
        <v/>
      </c>
      <c r="M476" s="54" t="str">
        <f aca="false">IF(OR(D476="",B476=""),"",IF(IFERROR(INDEX(Suppliers!$S$7:$S$106,MATCH(D476,Suppliers!$B$7:$B$106,0)),"")="","–",B476+IFERROR(INDEX(Suppliers!$S$7:$S$106,MATCH(D476,Suppliers!$B$7:$B$106,0)),"")))</f>
        <v/>
      </c>
      <c r="N476" s="56" t="str">
        <f aca="false">IF(D476="","",IF(N(K476)&lt;=0,"Paid",IF(AND(ISNUMBER(M476),Setup!$C$11&gt;M476),"⚠ MSME late",IF(N(L476)&gt;0,"Overdue",IF(N(V476)&lt;=Setup!$C$9,"⚠ MSME due soon",IF(K476&lt;E476,"Part paid","Not due"))))))</f>
        <v/>
      </c>
      <c r="O476" s="50" t="str">
        <f aca="false">IF(AND(D476="",B476="",C476="",E476=""),"",IF(D476="","⚠ Pick supplier",IF(ISNA(MATCH(D476,Suppliers!$B$7:$B$106,0)),"⚠ Supplier not in list",IF(B476="","⚠ Enter bill date",IF(N(E476)&lt;=0,"⚠ Enter amount",IF(AND(C476&lt;&gt;"",COUNTIFS($D$8:$D$507,D476,$C$8:$C$507,C476)&gt;1),"⚠ Bill no. used twice",IF(N(I476)&gt;N(E476),"⚠ Paid more than bill","✔")))))))</f>
        <v/>
      </c>
      <c r="P476" s="9" t="n">
        <f aca="false">IF(D476="",0,MAX(0,N(E476)-N(I476)))</f>
        <v>0</v>
      </c>
      <c r="Q476" s="9" t="n">
        <f aca="false">IF(D476="",0,SUMIFS($P$8:$P$507,$D$8:$D$507,D476,$B$8:$B$507,"&lt;"&amp;B476)+SUMIFS($P$8:P475,$D$8:D475,D476,$B$8:B475,B476))</f>
        <v>0</v>
      </c>
      <c r="R476" s="9" t="n">
        <f aca="false">IF(D476="",0,IFERROR(INDEX(Suppliers!$R$7:$R$106,MATCH(D476,Suppliers!$B$7:$B$106,0)),0))</f>
        <v>0</v>
      </c>
      <c r="S476" s="9" t="str">
        <f aca="false">IF(N(K476)&gt;0,IF(H476="",99999,MIN(H476,IF(ISNUMBER(M476),M476,H476)))+ROW()/100000,"")</f>
        <v/>
      </c>
      <c r="U476" s="9" t="n">
        <f aca="false">IF(N(K476)&gt;0,N(L476),0)</f>
        <v>0</v>
      </c>
      <c r="V476" s="9" t="n">
        <f aca="false">IF(AND(N(K476)&gt;0,ISNUMBER(M476)),M476-Setup!$C$11,99999)</f>
        <v>99999</v>
      </c>
    </row>
    <row r="477" customFormat="false" ht="15" hidden="false" customHeight="false" outlineLevel="0" collapsed="false">
      <c r="A477" s="40" t="str">
        <f aca="false">IF(D477="","",ROW()-7)</f>
        <v/>
      </c>
      <c r="B477" s="79"/>
      <c r="C477" s="75"/>
      <c r="D477" s="76"/>
      <c r="E477" s="80"/>
      <c r="F477" s="79"/>
      <c r="G477" s="76"/>
      <c r="H477" s="54" t="str">
        <f aca="false">IF(OR(D477="",B477=""),"",IF(F477&lt;&gt;"",F477,B477+IFERROR(INDEX(Suppliers!$Q$7:$Q$106,MATCH(D477,Suppliers!$B$7:$B$106,0)),Setup!$C$7)))</f>
        <v/>
      </c>
      <c r="I477" s="46" t="str">
        <f aca="false">IF(OR(D477="",C477=""),IF(D477="","",0),SUMIFS(Payments!$D$8:$D$507,Payments!$C$8:$C$507,D477,Payments!$F$8:$F$507,C477))</f>
        <v/>
      </c>
      <c r="J477" s="46" t="str">
        <f aca="false">IF(D477="","",MIN(P477,MAX(0,R477-Q477)))</f>
        <v/>
      </c>
      <c r="K477" s="47" t="str">
        <f aca="false">IF(D477="","",P477-J477)</f>
        <v/>
      </c>
      <c r="L477" s="55" t="str">
        <f aca="false">IF(OR(D477="",N(K477)&lt;=0,H477=""),"",MAX(0,Setup!$C$11-H477))</f>
        <v/>
      </c>
      <c r="M477" s="54" t="str">
        <f aca="false">IF(OR(D477="",B477=""),"",IF(IFERROR(INDEX(Suppliers!$S$7:$S$106,MATCH(D477,Suppliers!$B$7:$B$106,0)),"")="","–",B477+IFERROR(INDEX(Suppliers!$S$7:$S$106,MATCH(D477,Suppliers!$B$7:$B$106,0)),"")))</f>
        <v/>
      </c>
      <c r="N477" s="56" t="str">
        <f aca="false">IF(D477="","",IF(N(K477)&lt;=0,"Paid",IF(AND(ISNUMBER(M477),Setup!$C$11&gt;M477),"⚠ MSME late",IF(N(L477)&gt;0,"Overdue",IF(N(V477)&lt;=Setup!$C$9,"⚠ MSME due soon",IF(K477&lt;E477,"Part paid","Not due"))))))</f>
        <v/>
      </c>
      <c r="O477" s="50" t="str">
        <f aca="false">IF(AND(D477="",B477="",C477="",E477=""),"",IF(D477="","⚠ Pick supplier",IF(ISNA(MATCH(D477,Suppliers!$B$7:$B$106,0)),"⚠ Supplier not in list",IF(B477="","⚠ Enter bill date",IF(N(E477)&lt;=0,"⚠ Enter amount",IF(AND(C477&lt;&gt;"",COUNTIFS($D$8:$D$507,D477,$C$8:$C$507,C477)&gt;1),"⚠ Bill no. used twice",IF(N(I477)&gt;N(E477),"⚠ Paid more than bill","✔")))))))</f>
        <v/>
      </c>
      <c r="P477" s="9" t="n">
        <f aca="false">IF(D477="",0,MAX(0,N(E477)-N(I477)))</f>
        <v>0</v>
      </c>
      <c r="Q477" s="9" t="n">
        <f aca="false">IF(D477="",0,SUMIFS($P$8:$P$507,$D$8:$D$507,D477,$B$8:$B$507,"&lt;"&amp;B477)+SUMIFS($P$8:P476,$D$8:D476,D477,$B$8:B476,B477))</f>
        <v>0</v>
      </c>
      <c r="R477" s="9" t="n">
        <f aca="false">IF(D477="",0,IFERROR(INDEX(Suppliers!$R$7:$R$106,MATCH(D477,Suppliers!$B$7:$B$106,0)),0))</f>
        <v>0</v>
      </c>
      <c r="S477" s="9" t="str">
        <f aca="false">IF(N(K477)&gt;0,IF(H477="",99999,MIN(H477,IF(ISNUMBER(M477),M477,H477)))+ROW()/100000,"")</f>
        <v/>
      </c>
      <c r="U477" s="9" t="n">
        <f aca="false">IF(N(K477)&gt;0,N(L477),0)</f>
        <v>0</v>
      </c>
      <c r="V477" s="9" t="n">
        <f aca="false">IF(AND(N(K477)&gt;0,ISNUMBER(M477)),M477-Setup!$C$11,99999)</f>
        <v>99999</v>
      </c>
    </row>
    <row r="478" customFormat="false" ht="15" hidden="false" customHeight="false" outlineLevel="0" collapsed="false">
      <c r="A478" s="40" t="str">
        <f aca="false">IF(D478="","",ROW()-7)</f>
        <v/>
      </c>
      <c r="B478" s="79"/>
      <c r="C478" s="75"/>
      <c r="D478" s="76"/>
      <c r="E478" s="80"/>
      <c r="F478" s="79"/>
      <c r="G478" s="76"/>
      <c r="H478" s="54" t="str">
        <f aca="false">IF(OR(D478="",B478=""),"",IF(F478&lt;&gt;"",F478,B478+IFERROR(INDEX(Suppliers!$Q$7:$Q$106,MATCH(D478,Suppliers!$B$7:$B$106,0)),Setup!$C$7)))</f>
        <v/>
      </c>
      <c r="I478" s="46" t="str">
        <f aca="false">IF(OR(D478="",C478=""),IF(D478="","",0),SUMIFS(Payments!$D$8:$D$507,Payments!$C$8:$C$507,D478,Payments!$F$8:$F$507,C478))</f>
        <v/>
      </c>
      <c r="J478" s="46" t="str">
        <f aca="false">IF(D478="","",MIN(P478,MAX(0,R478-Q478)))</f>
        <v/>
      </c>
      <c r="K478" s="47" t="str">
        <f aca="false">IF(D478="","",P478-J478)</f>
        <v/>
      </c>
      <c r="L478" s="55" t="str">
        <f aca="false">IF(OR(D478="",N(K478)&lt;=0,H478=""),"",MAX(0,Setup!$C$11-H478))</f>
        <v/>
      </c>
      <c r="M478" s="54" t="str">
        <f aca="false">IF(OR(D478="",B478=""),"",IF(IFERROR(INDEX(Suppliers!$S$7:$S$106,MATCH(D478,Suppliers!$B$7:$B$106,0)),"")="","–",B478+IFERROR(INDEX(Suppliers!$S$7:$S$106,MATCH(D478,Suppliers!$B$7:$B$106,0)),"")))</f>
        <v/>
      </c>
      <c r="N478" s="56" t="str">
        <f aca="false">IF(D478="","",IF(N(K478)&lt;=0,"Paid",IF(AND(ISNUMBER(M478),Setup!$C$11&gt;M478),"⚠ MSME late",IF(N(L478)&gt;0,"Overdue",IF(N(V478)&lt;=Setup!$C$9,"⚠ MSME due soon",IF(K478&lt;E478,"Part paid","Not due"))))))</f>
        <v/>
      </c>
      <c r="O478" s="50" t="str">
        <f aca="false">IF(AND(D478="",B478="",C478="",E478=""),"",IF(D478="","⚠ Pick supplier",IF(ISNA(MATCH(D478,Suppliers!$B$7:$B$106,0)),"⚠ Supplier not in list",IF(B478="","⚠ Enter bill date",IF(N(E478)&lt;=0,"⚠ Enter amount",IF(AND(C478&lt;&gt;"",COUNTIFS($D$8:$D$507,D478,$C$8:$C$507,C478)&gt;1),"⚠ Bill no. used twice",IF(N(I478)&gt;N(E478),"⚠ Paid more than bill","✔")))))))</f>
        <v/>
      </c>
      <c r="P478" s="9" t="n">
        <f aca="false">IF(D478="",0,MAX(0,N(E478)-N(I478)))</f>
        <v>0</v>
      </c>
      <c r="Q478" s="9" t="n">
        <f aca="false">IF(D478="",0,SUMIFS($P$8:$P$507,$D$8:$D$507,D478,$B$8:$B$507,"&lt;"&amp;B478)+SUMIFS($P$8:P477,$D$8:D477,D478,$B$8:B477,B478))</f>
        <v>0</v>
      </c>
      <c r="R478" s="9" t="n">
        <f aca="false">IF(D478="",0,IFERROR(INDEX(Suppliers!$R$7:$R$106,MATCH(D478,Suppliers!$B$7:$B$106,0)),0))</f>
        <v>0</v>
      </c>
      <c r="S478" s="9" t="str">
        <f aca="false">IF(N(K478)&gt;0,IF(H478="",99999,MIN(H478,IF(ISNUMBER(M478),M478,H478)))+ROW()/100000,"")</f>
        <v/>
      </c>
      <c r="U478" s="9" t="n">
        <f aca="false">IF(N(K478)&gt;0,N(L478),0)</f>
        <v>0</v>
      </c>
      <c r="V478" s="9" t="n">
        <f aca="false">IF(AND(N(K478)&gt;0,ISNUMBER(M478)),M478-Setup!$C$11,99999)</f>
        <v>99999</v>
      </c>
    </row>
    <row r="479" customFormat="false" ht="15" hidden="false" customHeight="false" outlineLevel="0" collapsed="false">
      <c r="A479" s="40" t="str">
        <f aca="false">IF(D479="","",ROW()-7)</f>
        <v/>
      </c>
      <c r="B479" s="79"/>
      <c r="C479" s="75"/>
      <c r="D479" s="76"/>
      <c r="E479" s="80"/>
      <c r="F479" s="79"/>
      <c r="G479" s="76"/>
      <c r="H479" s="54" t="str">
        <f aca="false">IF(OR(D479="",B479=""),"",IF(F479&lt;&gt;"",F479,B479+IFERROR(INDEX(Suppliers!$Q$7:$Q$106,MATCH(D479,Suppliers!$B$7:$B$106,0)),Setup!$C$7)))</f>
        <v/>
      </c>
      <c r="I479" s="46" t="str">
        <f aca="false">IF(OR(D479="",C479=""),IF(D479="","",0),SUMIFS(Payments!$D$8:$D$507,Payments!$C$8:$C$507,D479,Payments!$F$8:$F$507,C479))</f>
        <v/>
      </c>
      <c r="J479" s="46" t="str">
        <f aca="false">IF(D479="","",MIN(P479,MAX(0,R479-Q479)))</f>
        <v/>
      </c>
      <c r="K479" s="47" t="str">
        <f aca="false">IF(D479="","",P479-J479)</f>
        <v/>
      </c>
      <c r="L479" s="55" t="str">
        <f aca="false">IF(OR(D479="",N(K479)&lt;=0,H479=""),"",MAX(0,Setup!$C$11-H479))</f>
        <v/>
      </c>
      <c r="M479" s="54" t="str">
        <f aca="false">IF(OR(D479="",B479=""),"",IF(IFERROR(INDEX(Suppliers!$S$7:$S$106,MATCH(D479,Suppliers!$B$7:$B$106,0)),"")="","–",B479+IFERROR(INDEX(Suppliers!$S$7:$S$106,MATCH(D479,Suppliers!$B$7:$B$106,0)),"")))</f>
        <v/>
      </c>
      <c r="N479" s="56" t="str">
        <f aca="false">IF(D479="","",IF(N(K479)&lt;=0,"Paid",IF(AND(ISNUMBER(M479),Setup!$C$11&gt;M479),"⚠ MSME late",IF(N(L479)&gt;0,"Overdue",IF(N(V479)&lt;=Setup!$C$9,"⚠ MSME due soon",IF(K479&lt;E479,"Part paid","Not due"))))))</f>
        <v/>
      </c>
      <c r="O479" s="50" t="str">
        <f aca="false">IF(AND(D479="",B479="",C479="",E479=""),"",IF(D479="","⚠ Pick supplier",IF(ISNA(MATCH(D479,Suppliers!$B$7:$B$106,0)),"⚠ Supplier not in list",IF(B479="","⚠ Enter bill date",IF(N(E479)&lt;=0,"⚠ Enter amount",IF(AND(C479&lt;&gt;"",COUNTIFS($D$8:$D$507,D479,$C$8:$C$507,C479)&gt;1),"⚠ Bill no. used twice",IF(N(I479)&gt;N(E479),"⚠ Paid more than bill","✔")))))))</f>
        <v/>
      </c>
      <c r="P479" s="9" t="n">
        <f aca="false">IF(D479="",0,MAX(0,N(E479)-N(I479)))</f>
        <v>0</v>
      </c>
      <c r="Q479" s="9" t="n">
        <f aca="false">IF(D479="",0,SUMIFS($P$8:$P$507,$D$8:$D$507,D479,$B$8:$B$507,"&lt;"&amp;B479)+SUMIFS($P$8:P478,$D$8:D478,D479,$B$8:B478,B479))</f>
        <v>0</v>
      </c>
      <c r="R479" s="9" t="n">
        <f aca="false">IF(D479="",0,IFERROR(INDEX(Suppliers!$R$7:$R$106,MATCH(D479,Suppliers!$B$7:$B$106,0)),0))</f>
        <v>0</v>
      </c>
      <c r="S479" s="9" t="str">
        <f aca="false">IF(N(K479)&gt;0,IF(H479="",99999,MIN(H479,IF(ISNUMBER(M479),M479,H479)))+ROW()/100000,"")</f>
        <v/>
      </c>
      <c r="U479" s="9" t="n">
        <f aca="false">IF(N(K479)&gt;0,N(L479),0)</f>
        <v>0</v>
      </c>
      <c r="V479" s="9" t="n">
        <f aca="false">IF(AND(N(K479)&gt;0,ISNUMBER(M479)),M479-Setup!$C$11,99999)</f>
        <v>99999</v>
      </c>
    </row>
    <row r="480" customFormat="false" ht="15" hidden="false" customHeight="false" outlineLevel="0" collapsed="false">
      <c r="A480" s="40" t="str">
        <f aca="false">IF(D480="","",ROW()-7)</f>
        <v/>
      </c>
      <c r="B480" s="79"/>
      <c r="C480" s="75"/>
      <c r="D480" s="76"/>
      <c r="E480" s="80"/>
      <c r="F480" s="79"/>
      <c r="G480" s="76"/>
      <c r="H480" s="54" t="str">
        <f aca="false">IF(OR(D480="",B480=""),"",IF(F480&lt;&gt;"",F480,B480+IFERROR(INDEX(Suppliers!$Q$7:$Q$106,MATCH(D480,Suppliers!$B$7:$B$106,0)),Setup!$C$7)))</f>
        <v/>
      </c>
      <c r="I480" s="46" t="str">
        <f aca="false">IF(OR(D480="",C480=""),IF(D480="","",0),SUMIFS(Payments!$D$8:$D$507,Payments!$C$8:$C$507,D480,Payments!$F$8:$F$507,C480))</f>
        <v/>
      </c>
      <c r="J480" s="46" t="str">
        <f aca="false">IF(D480="","",MIN(P480,MAX(0,R480-Q480)))</f>
        <v/>
      </c>
      <c r="K480" s="47" t="str">
        <f aca="false">IF(D480="","",P480-J480)</f>
        <v/>
      </c>
      <c r="L480" s="55" t="str">
        <f aca="false">IF(OR(D480="",N(K480)&lt;=0,H480=""),"",MAX(0,Setup!$C$11-H480))</f>
        <v/>
      </c>
      <c r="M480" s="54" t="str">
        <f aca="false">IF(OR(D480="",B480=""),"",IF(IFERROR(INDEX(Suppliers!$S$7:$S$106,MATCH(D480,Suppliers!$B$7:$B$106,0)),"")="","–",B480+IFERROR(INDEX(Suppliers!$S$7:$S$106,MATCH(D480,Suppliers!$B$7:$B$106,0)),"")))</f>
        <v/>
      </c>
      <c r="N480" s="56" t="str">
        <f aca="false">IF(D480="","",IF(N(K480)&lt;=0,"Paid",IF(AND(ISNUMBER(M480),Setup!$C$11&gt;M480),"⚠ MSME late",IF(N(L480)&gt;0,"Overdue",IF(N(V480)&lt;=Setup!$C$9,"⚠ MSME due soon",IF(K480&lt;E480,"Part paid","Not due"))))))</f>
        <v/>
      </c>
      <c r="O480" s="50" t="str">
        <f aca="false">IF(AND(D480="",B480="",C480="",E480=""),"",IF(D480="","⚠ Pick supplier",IF(ISNA(MATCH(D480,Suppliers!$B$7:$B$106,0)),"⚠ Supplier not in list",IF(B480="","⚠ Enter bill date",IF(N(E480)&lt;=0,"⚠ Enter amount",IF(AND(C480&lt;&gt;"",COUNTIFS($D$8:$D$507,D480,$C$8:$C$507,C480)&gt;1),"⚠ Bill no. used twice",IF(N(I480)&gt;N(E480),"⚠ Paid more than bill","✔")))))))</f>
        <v/>
      </c>
      <c r="P480" s="9" t="n">
        <f aca="false">IF(D480="",0,MAX(0,N(E480)-N(I480)))</f>
        <v>0</v>
      </c>
      <c r="Q480" s="9" t="n">
        <f aca="false">IF(D480="",0,SUMIFS($P$8:$P$507,$D$8:$D$507,D480,$B$8:$B$507,"&lt;"&amp;B480)+SUMIFS($P$8:P479,$D$8:D479,D480,$B$8:B479,B480))</f>
        <v>0</v>
      </c>
      <c r="R480" s="9" t="n">
        <f aca="false">IF(D480="",0,IFERROR(INDEX(Suppliers!$R$7:$R$106,MATCH(D480,Suppliers!$B$7:$B$106,0)),0))</f>
        <v>0</v>
      </c>
      <c r="S480" s="9" t="str">
        <f aca="false">IF(N(K480)&gt;0,IF(H480="",99999,MIN(H480,IF(ISNUMBER(M480),M480,H480)))+ROW()/100000,"")</f>
        <v/>
      </c>
      <c r="U480" s="9" t="n">
        <f aca="false">IF(N(K480)&gt;0,N(L480),0)</f>
        <v>0</v>
      </c>
      <c r="V480" s="9" t="n">
        <f aca="false">IF(AND(N(K480)&gt;0,ISNUMBER(M480)),M480-Setup!$C$11,99999)</f>
        <v>99999</v>
      </c>
    </row>
    <row r="481" customFormat="false" ht="15" hidden="false" customHeight="false" outlineLevel="0" collapsed="false">
      <c r="A481" s="40" t="str">
        <f aca="false">IF(D481="","",ROW()-7)</f>
        <v/>
      </c>
      <c r="B481" s="79"/>
      <c r="C481" s="75"/>
      <c r="D481" s="76"/>
      <c r="E481" s="80"/>
      <c r="F481" s="79"/>
      <c r="G481" s="76"/>
      <c r="H481" s="54" t="str">
        <f aca="false">IF(OR(D481="",B481=""),"",IF(F481&lt;&gt;"",F481,B481+IFERROR(INDEX(Suppliers!$Q$7:$Q$106,MATCH(D481,Suppliers!$B$7:$B$106,0)),Setup!$C$7)))</f>
        <v/>
      </c>
      <c r="I481" s="46" t="str">
        <f aca="false">IF(OR(D481="",C481=""),IF(D481="","",0),SUMIFS(Payments!$D$8:$D$507,Payments!$C$8:$C$507,D481,Payments!$F$8:$F$507,C481))</f>
        <v/>
      </c>
      <c r="J481" s="46" t="str">
        <f aca="false">IF(D481="","",MIN(P481,MAX(0,R481-Q481)))</f>
        <v/>
      </c>
      <c r="K481" s="47" t="str">
        <f aca="false">IF(D481="","",P481-J481)</f>
        <v/>
      </c>
      <c r="L481" s="55" t="str">
        <f aca="false">IF(OR(D481="",N(K481)&lt;=0,H481=""),"",MAX(0,Setup!$C$11-H481))</f>
        <v/>
      </c>
      <c r="M481" s="54" t="str">
        <f aca="false">IF(OR(D481="",B481=""),"",IF(IFERROR(INDEX(Suppliers!$S$7:$S$106,MATCH(D481,Suppliers!$B$7:$B$106,0)),"")="","–",B481+IFERROR(INDEX(Suppliers!$S$7:$S$106,MATCH(D481,Suppliers!$B$7:$B$106,0)),"")))</f>
        <v/>
      </c>
      <c r="N481" s="56" t="str">
        <f aca="false">IF(D481="","",IF(N(K481)&lt;=0,"Paid",IF(AND(ISNUMBER(M481),Setup!$C$11&gt;M481),"⚠ MSME late",IF(N(L481)&gt;0,"Overdue",IF(N(V481)&lt;=Setup!$C$9,"⚠ MSME due soon",IF(K481&lt;E481,"Part paid","Not due"))))))</f>
        <v/>
      </c>
      <c r="O481" s="50" t="str">
        <f aca="false">IF(AND(D481="",B481="",C481="",E481=""),"",IF(D481="","⚠ Pick supplier",IF(ISNA(MATCH(D481,Suppliers!$B$7:$B$106,0)),"⚠ Supplier not in list",IF(B481="","⚠ Enter bill date",IF(N(E481)&lt;=0,"⚠ Enter amount",IF(AND(C481&lt;&gt;"",COUNTIFS($D$8:$D$507,D481,$C$8:$C$507,C481)&gt;1),"⚠ Bill no. used twice",IF(N(I481)&gt;N(E481),"⚠ Paid more than bill","✔")))))))</f>
        <v/>
      </c>
      <c r="P481" s="9" t="n">
        <f aca="false">IF(D481="",0,MAX(0,N(E481)-N(I481)))</f>
        <v>0</v>
      </c>
      <c r="Q481" s="9" t="n">
        <f aca="false">IF(D481="",0,SUMIFS($P$8:$P$507,$D$8:$D$507,D481,$B$8:$B$507,"&lt;"&amp;B481)+SUMIFS($P$8:P480,$D$8:D480,D481,$B$8:B480,B481))</f>
        <v>0</v>
      </c>
      <c r="R481" s="9" t="n">
        <f aca="false">IF(D481="",0,IFERROR(INDEX(Suppliers!$R$7:$R$106,MATCH(D481,Suppliers!$B$7:$B$106,0)),0))</f>
        <v>0</v>
      </c>
      <c r="S481" s="9" t="str">
        <f aca="false">IF(N(K481)&gt;0,IF(H481="",99999,MIN(H481,IF(ISNUMBER(M481),M481,H481)))+ROW()/100000,"")</f>
        <v/>
      </c>
      <c r="U481" s="9" t="n">
        <f aca="false">IF(N(K481)&gt;0,N(L481),0)</f>
        <v>0</v>
      </c>
      <c r="V481" s="9" t="n">
        <f aca="false">IF(AND(N(K481)&gt;0,ISNUMBER(M481)),M481-Setup!$C$11,99999)</f>
        <v>99999</v>
      </c>
    </row>
    <row r="482" customFormat="false" ht="15" hidden="false" customHeight="false" outlineLevel="0" collapsed="false">
      <c r="A482" s="40" t="str">
        <f aca="false">IF(D482="","",ROW()-7)</f>
        <v/>
      </c>
      <c r="B482" s="79"/>
      <c r="C482" s="75"/>
      <c r="D482" s="76"/>
      <c r="E482" s="80"/>
      <c r="F482" s="79"/>
      <c r="G482" s="76"/>
      <c r="H482" s="54" t="str">
        <f aca="false">IF(OR(D482="",B482=""),"",IF(F482&lt;&gt;"",F482,B482+IFERROR(INDEX(Suppliers!$Q$7:$Q$106,MATCH(D482,Suppliers!$B$7:$B$106,0)),Setup!$C$7)))</f>
        <v/>
      </c>
      <c r="I482" s="46" t="str">
        <f aca="false">IF(OR(D482="",C482=""),IF(D482="","",0),SUMIFS(Payments!$D$8:$D$507,Payments!$C$8:$C$507,D482,Payments!$F$8:$F$507,C482))</f>
        <v/>
      </c>
      <c r="J482" s="46" t="str">
        <f aca="false">IF(D482="","",MIN(P482,MAX(0,R482-Q482)))</f>
        <v/>
      </c>
      <c r="K482" s="47" t="str">
        <f aca="false">IF(D482="","",P482-J482)</f>
        <v/>
      </c>
      <c r="L482" s="55" t="str">
        <f aca="false">IF(OR(D482="",N(K482)&lt;=0,H482=""),"",MAX(0,Setup!$C$11-H482))</f>
        <v/>
      </c>
      <c r="M482" s="54" t="str">
        <f aca="false">IF(OR(D482="",B482=""),"",IF(IFERROR(INDEX(Suppliers!$S$7:$S$106,MATCH(D482,Suppliers!$B$7:$B$106,0)),"")="","–",B482+IFERROR(INDEX(Suppliers!$S$7:$S$106,MATCH(D482,Suppliers!$B$7:$B$106,0)),"")))</f>
        <v/>
      </c>
      <c r="N482" s="56" t="str">
        <f aca="false">IF(D482="","",IF(N(K482)&lt;=0,"Paid",IF(AND(ISNUMBER(M482),Setup!$C$11&gt;M482),"⚠ MSME late",IF(N(L482)&gt;0,"Overdue",IF(N(V482)&lt;=Setup!$C$9,"⚠ MSME due soon",IF(K482&lt;E482,"Part paid","Not due"))))))</f>
        <v/>
      </c>
      <c r="O482" s="50" t="str">
        <f aca="false">IF(AND(D482="",B482="",C482="",E482=""),"",IF(D482="","⚠ Pick supplier",IF(ISNA(MATCH(D482,Suppliers!$B$7:$B$106,0)),"⚠ Supplier not in list",IF(B482="","⚠ Enter bill date",IF(N(E482)&lt;=0,"⚠ Enter amount",IF(AND(C482&lt;&gt;"",COUNTIFS($D$8:$D$507,D482,$C$8:$C$507,C482)&gt;1),"⚠ Bill no. used twice",IF(N(I482)&gt;N(E482),"⚠ Paid more than bill","✔")))))))</f>
        <v/>
      </c>
      <c r="P482" s="9" t="n">
        <f aca="false">IF(D482="",0,MAX(0,N(E482)-N(I482)))</f>
        <v>0</v>
      </c>
      <c r="Q482" s="9" t="n">
        <f aca="false">IF(D482="",0,SUMIFS($P$8:$P$507,$D$8:$D$507,D482,$B$8:$B$507,"&lt;"&amp;B482)+SUMIFS($P$8:P481,$D$8:D481,D482,$B$8:B481,B482))</f>
        <v>0</v>
      </c>
      <c r="R482" s="9" t="n">
        <f aca="false">IF(D482="",0,IFERROR(INDEX(Suppliers!$R$7:$R$106,MATCH(D482,Suppliers!$B$7:$B$106,0)),0))</f>
        <v>0</v>
      </c>
      <c r="S482" s="9" t="str">
        <f aca="false">IF(N(K482)&gt;0,IF(H482="",99999,MIN(H482,IF(ISNUMBER(M482),M482,H482)))+ROW()/100000,"")</f>
        <v/>
      </c>
      <c r="U482" s="9" t="n">
        <f aca="false">IF(N(K482)&gt;0,N(L482),0)</f>
        <v>0</v>
      </c>
      <c r="V482" s="9" t="n">
        <f aca="false">IF(AND(N(K482)&gt;0,ISNUMBER(M482)),M482-Setup!$C$11,99999)</f>
        <v>99999</v>
      </c>
    </row>
    <row r="483" customFormat="false" ht="15" hidden="false" customHeight="false" outlineLevel="0" collapsed="false">
      <c r="A483" s="40" t="str">
        <f aca="false">IF(D483="","",ROW()-7)</f>
        <v/>
      </c>
      <c r="B483" s="79"/>
      <c r="C483" s="75"/>
      <c r="D483" s="76"/>
      <c r="E483" s="80"/>
      <c r="F483" s="79"/>
      <c r="G483" s="76"/>
      <c r="H483" s="54" t="str">
        <f aca="false">IF(OR(D483="",B483=""),"",IF(F483&lt;&gt;"",F483,B483+IFERROR(INDEX(Suppliers!$Q$7:$Q$106,MATCH(D483,Suppliers!$B$7:$B$106,0)),Setup!$C$7)))</f>
        <v/>
      </c>
      <c r="I483" s="46" t="str">
        <f aca="false">IF(OR(D483="",C483=""),IF(D483="","",0),SUMIFS(Payments!$D$8:$D$507,Payments!$C$8:$C$507,D483,Payments!$F$8:$F$507,C483))</f>
        <v/>
      </c>
      <c r="J483" s="46" t="str">
        <f aca="false">IF(D483="","",MIN(P483,MAX(0,R483-Q483)))</f>
        <v/>
      </c>
      <c r="K483" s="47" t="str">
        <f aca="false">IF(D483="","",P483-J483)</f>
        <v/>
      </c>
      <c r="L483" s="55" t="str">
        <f aca="false">IF(OR(D483="",N(K483)&lt;=0,H483=""),"",MAX(0,Setup!$C$11-H483))</f>
        <v/>
      </c>
      <c r="M483" s="54" t="str">
        <f aca="false">IF(OR(D483="",B483=""),"",IF(IFERROR(INDEX(Suppliers!$S$7:$S$106,MATCH(D483,Suppliers!$B$7:$B$106,0)),"")="","–",B483+IFERROR(INDEX(Suppliers!$S$7:$S$106,MATCH(D483,Suppliers!$B$7:$B$106,0)),"")))</f>
        <v/>
      </c>
      <c r="N483" s="56" t="str">
        <f aca="false">IF(D483="","",IF(N(K483)&lt;=0,"Paid",IF(AND(ISNUMBER(M483),Setup!$C$11&gt;M483),"⚠ MSME late",IF(N(L483)&gt;0,"Overdue",IF(N(V483)&lt;=Setup!$C$9,"⚠ MSME due soon",IF(K483&lt;E483,"Part paid","Not due"))))))</f>
        <v/>
      </c>
      <c r="O483" s="50" t="str">
        <f aca="false">IF(AND(D483="",B483="",C483="",E483=""),"",IF(D483="","⚠ Pick supplier",IF(ISNA(MATCH(D483,Suppliers!$B$7:$B$106,0)),"⚠ Supplier not in list",IF(B483="","⚠ Enter bill date",IF(N(E483)&lt;=0,"⚠ Enter amount",IF(AND(C483&lt;&gt;"",COUNTIFS($D$8:$D$507,D483,$C$8:$C$507,C483)&gt;1),"⚠ Bill no. used twice",IF(N(I483)&gt;N(E483),"⚠ Paid more than bill","✔")))))))</f>
        <v/>
      </c>
      <c r="P483" s="9" t="n">
        <f aca="false">IF(D483="",0,MAX(0,N(E483)-N(I483)))</f>
        <v>0</v>
      </c>
      <c r="Q483" s="9" t="n">
        <f aca="false">IF(D483="",0,SUMIFS($P$8:$P$507,$D$8:$D$507,D483,$B$8:$B$507,"&lt;"&amp;B483)+SUMIFS($P$8:P482,$D$8:D482,D483,$B$8:B482,B483))</f>
        <v>0</v>
      </c>
      <c r="R483" s="9" t="n">
        <f aca="false">IF(D483="",0,IFERROR(INDEX(Suppliers!$R$7:$R$106,MATCH(D483,Suppliers!$B$7:$B$106,0)),0))</f>
        <v>0</v>
      </c>
      <c r="S483" s="9" t="str">
        <f aca="false">IF(N(K483)&gt;0,IF(H483="",99999,MIN(H483,IF(ISNUMBER(M483),M483,H483)))+ROW()/100000,"")</f>
        <v/>
      </c>
      <c r="U483" s="9" t="n">
        <f aca="false">IF(N(K483)&gt;0,N(L483),0)</f>
        <v>0</v>
      </c>
      <c r="V483" s="9" t="n">
        <f aca="false">IF(AND(N(K483)&gt;0,ISNUMBER(M483)),M483-Setup!$C$11,99999)</f>
        <v>99999</v>
      </c>
    </row>
    <row r="484" customFormat="false" ht="15" hidden="false" customHeight="false" outlineLevel="0" collapsed="false">
      <c r="A484" s="40" t="str">
        <f aca="false">IF(D484="","",ROW()-7)</f>
        <v/>
      </c>
      <c r="B484" s="79"/>
      <c r="C484" s="75"/>
      <c r="D484" s="76"/>
      <c r="E484" s="80"/>
      <c r="F484" s="79"/>
      <c r="G484" s="76"/>
      <c r="H484" s="54" t="str">
        <f aca="false">IF(OR(D484="",B484=""),"",IF(F484&lt;&gt;"",F484,B484+IFERROR(INDEX(Suppliers!$Q$7:$Q$106,MATCH(D484,Suppliers!$B$7:$B$106,0)),Setup!$C$7)))</f>
        <v/>
      </c>
      <c r="I484" s="46" t="str">
        <f aca="false">IF(OR(D484="",C484=""),IF(D484="","",0),SUMIFS(Payments!$D$8:$D$507,Payments!$C$8:$C$507,D484,Payments!$F$8:$F$507,C484))</f>
        <v/>
      </c>
      <c r="J484" s="46" t="str">
        <f aca="false">IF(D484="","",MIN(P484,MAX(0,R484-Q484)))</f>
        <v/>
      </c>
      <c r="K484" s="47" t="str">
        <f aca="false">IF(D484="","",P484-J484)</f>
        <v/>
      </c>
      <c r="L484" s="55" t="str">
        <f aca="false">IF(OR(D484="",N(K484)&lt;=0,H484=""),"",MAX(0,Setup!$C$11-H484))</f>
        <v/>
      </c>
      <c r="M484" s="54" t="str">
        <f aca="false">IF(OR(D484="",B484=""),"",IF(IFERROR(INDEX(Suppliers!$S$7:$S$106,MATCH(D484,Suppliers!$B$7:$B$106,0)),"")="","–",B484+IFERROR(INDEX(Suppliers!$S$7:$S$106,MATCH(D484,Suppliers!$B$7:$B$106,0)),"")))</f>
        <v/>
      </c>
      <c r="N484" s="56" t="str">
        <f aca="false">IF(D484="","",IF(N(K484)&lt;=0,"Paid",IF(AND(ISNUMBER(M484),Setup!$C$11&gt;M484),"⚠ MSME late",IF(N(L484)&gt;0,"Overdue",IF(N(V484)&lt;=Setup!$C$9,"⚠ MSME due soon",IF(K484&lt;E484,"Part paid","Not due"))))))</f>
        <v/>
      </c>
      <c r="O484" s="50" t="str">
        <f aca="false">IF(AND(D484="",B484="",C484="",E484=""),"",IF(D484="","⚠ Pick supplier",IF(ISNA(MATCH(D484,Suppliers!$B$7:$B$106,0)),"⚠ Supplier not in list",IF(B484="","⚠ Enter bill date",IF(N(E484)&lt;=0,"⚠ Enter amount",IF(AND(C484&lt;&gt;"",COUNTIFS($D$8:$D$507,D484,$C$8:$C$507,C484)&gt;1),"⚠ Bill no. used twice",IF(N(I484)&gt;N(E484),"⚠ Paid more than bill","✔")))))))</f>
        <v/>
      </c>
      <c r="P484" s="9" t="n">
        <f aca="false">IF(D484="",0,MAX(0,N(E484)-N(I484)))</f>
        <v>0</v>
      </c>
      <c r="Q484" s="9" t="n">
        <f aca="false">IF(D484="",0,SUMIFS($P$8:$P$507,$D$8:$D$507,D484,$B$8:$B$507,"&lt;"&amp;B484)+SUMIFS($P$8:P483,$D$8:D483,D484,$B$8:B483,B484))</f>
        <v>0</v>
      </c>
      <c r="R484" s="9" t="n">
        <f aca="false">IF(D484="",0,IFERROR(INDEX(Suppliers!$R$7:$R$106,MATCH(D484,Suppliers!$B$7:$B$106,0)),0))</f>
        <v>0</v>
      </c>
      <c r="S484" s="9" t="str">
        <f aca="false">IF(N(K484)&gt;0,IF(H484="",99999,MIN(H484,IF(ISNUMBER(M484),M484,H484)))+ROW()/100000,"")</f>
        <v/>
      </c>
      <c r="U484" s="9" t="n">
        <f aca="false">IF(N(K484)&gt;0,N(L484),0)</f>
        <v>0</v>
      </c>
      <c r="V484" s="9" t="n">
        <f aca="false">IF(AND(N(K484)&gt;0,ISNUMBER(M484)),M484-Setup!$C$11,99999)</f>
        <v>99999</v>
      </c>
    </row>
    <row r="485" customFormat="false" ht="15" hidden="false" customHeight="false" outlineLevel="0" collapsed="false">
      <c r="A485" s="40" t="str">
        <f aca="false">IF(D485="","",ROW()-7)</f>
        <v/>
      </c>
      <c r="B485" s="79"/>
      <c r="C485" s="75"/>
      <c r="D485" s="76"/>
      <c r="E485" s="80"/>
      <c r="F485" s="79"/>
      <c r="G485" s="76"/>
      <c r="H485" s="54" t="str">
        <f aca="false">IF(OR(D485="",B485=""),"",IF(F485&lt;&gt;"",F485,B485+IFERROR(INDEX(Suppliers!$Q$7:$Q$106,MATCH(D485,Suppliers!$B$7:$B$106,0)),Setup!$C$7)))</f>
        <v/>
      </c>
      <c r="I485" s="46" t="str">
        <f aca="false">IF(OR(D485="",C485=""),IF(D485="","",0),SUMIFS(Payments!$D$8:$D$507,Payments!$C$8:$C$507,D485,Payments!$F$8:$F$507,C485))</f>
        <v/>
      </c>
      <c r="J485" s="46" t="str">
        <f aca="false">IF(D485="","",MIN(P485,MAX(0,R485-Q485)))</f>
        <v/>
      </c>
      <c r="K485" s="47" t="str">
        <f aca="false">IF(D485="","",P485-J485)</f>
        <v/>
      </c>
      <c r="L485" s="55" t="str">
        <f aca="false">IF(OR(D485="",N(K485)&lt;=0,H485=""),"",MAX(0,Setup!$C$11-H485))</f>
        <v/>
      </c>
      <c r="M485" s="54" t="str">
        <f aca="false">IF(OR(D485="",B485=""),"",IF(IFERROR(INDEX(Suppliers!$S$7:$S$106,MATCH(D485,Suppliers!$B$7:$B$106,0)),"")="","–",B485+IFERROR(INDEX(Suppliers!$S$7:$S$106,MATCH(D485,Suppliers!$B$7:$B$106,0)),"")))</f>
        <v/>
      </c>
      <c r="N485" s="56" t="str">
        <f aca="false">IF(D485="","",IF(N(K485)&lt;=0,"Paid",IF(AND(ISNUMBER(M485),Setup!$C$11&gt;M485),"⚠ MSME late",IF(N(L485)&gt;0,"Overdue",IF(N(V485)&lt;=Setup!$C$9,"⚠ MSME due soon",IF(K485&lt;E485,"Part paid","Not due"))))))</f>
        <v/>
      </c>
      <c r="O485" s="50" t="str">
        <f aca="false">IF(AND(D485="",B485="",C485="",E485=""),"",IF(D485="","⚠ Pick supplier",IF(ISNA(MATCH(D485,Suppliers!$B$7:$B$106,0)),"⚠ Supplier not in list",IF(B485="","⚠ Enter bill date",IF(N(E485)&lt;=0,"⚠ Enter amount",IF(AND(C485&lt;&gt;"",COUNTIFS($D$8:$D$507,D485,$C$8:$C$507,C485)&gt;1),"⚠ Bill no. used twice",IF(N(I485)&gt;N(E485),"⚠ Paid more than bill","✔")))))))</f>
        <v/>
      </c>
      <c r="P485" s="9" t="n">
        <f aca="false">IF(D485="",0,MAX(0,N(E485)-N(I485)))</f>
        <v>0</v>
      </c>
      <c r="Q485" s="9" t="n">
        <f aca="false">IF(D485="",0,SUMIFS($P$8:$P$507,$D$8:$D$507,D485,$B$8:$B$507,"&lt;"&amp;B485)+SUMIFS($P$8:P484,$D$8:D484,D485,$B$8:B484,B485))</f>
        <v>0</v>
      </c>
      <c r="R485" s="9" t="n">
        <f aca="false">IF(D485="",0,IFERROR(INDEX(Suppliers!$R$7:$R$106,MATCH(D485,Suppliers!$B$7:$B$106,0)),0))</f>
        <v>0</v>
      </c>
      <c r="S485" s="9" t="str">
        <f aca="false">IF(N(K485)&gt;0,IF(H485="",99999,MIN(H485,IF(ISNUMBER(M485),M485,H485)))+ROW()/100000,"")</f>
        <v/>
      </c>
      <c r="U485" s="9" t="n">
        <f aca="false">IF(N(K485)&gt;0,N(L485),0)</f>
        <v>0</v>
      </c>
      <c r="V485" s="9" t="n">
        <f aca="false">IF(AND(N(K485)&gt;0,ISNUMBER(M485)),M485-Setup!$C$11,99999)</f>
        <v>99999</v>
      </c>
    </row>
    <row r="486" customFormat="false" ht="15" hidden="false" customHeight="false" outlineLevel="0" collapsed="false">
      <c r="A486" s="40" t="str">
        <f aca="false">IF(D486="","",ROW()-7)</f>
        <v/>
      </c>
      <c r="B486" s="79"/>
      <c r="C486" s="75"/>
      <c r="D486" s="76"/>
      <c r="E486" s="80"/>
      <c r="F486" s="79"/>
      <c r="G486" s="76"/>
      <c r="H486" s="54" t="str">
        <f aca="false">IF(OR(D486="",B486=""),"",IF(F486&lt;&gt;"",F486,B486+IFERROR(INDEX(Suppliers!$Q$7:$Q$106,MATCH(D486,Suppliers!$B$7:$B$106,0)),Setup!$C$7)))</f>
        <v/>
      </c>
      <c r="I486" s="46" t="str">
        <f aca="false">IF(OR(D486="",C486=""),IF(D486="","",0),SUMIFS(Payments!$D$8:$D$507,Payments!$C$8:$C$507,D486,Payments!$F$8:$F$507,C486))</f>
        <v/>
      </c>
      <c r="J486" s="46" t="str">
        <f aca="false">IF(D486="","",MIN(P486,MAX(0,R486-Q486)))</f>
        <v/>
      </c>
      <c r="K486" s="47" t="str">
        <f aca="false">IF(D486="","",P486-J486)</f>
        <v/>
      </c>
      <c r="L486" s="55" t="str">
        <f aca="false">IF(OR(D486="",N(K486)&lt;=0,H486=""),"",MAX(0,Setup!$C$11-H486))</f>
        <v/>
      </c>
      <c r="M486" s="54" t="str">
        <f aca="false">IF(OR(D486="",B486=""),"",IF(IFERROR(INDEX(Suppliers!$S$7:$S$106,MATCH(D486,Suppliers!$B$7:$B$106,0)),"")="","–",B486+IFERROR(INDEX(Suppliers!$S$7:$S$106,MATCH(D486,Suppliers!$B$7:$B$106,0)),"")))</f>
        <v/>
      </c>
      <c r="N486" s="56" t="str">
        <f aca="false">IF(D486="","",IF(N(K486)&lt;=0,"Paid",IF(AND(ISNUMBER(M486),Setup!$C$11&gt;M486),"⚠ MSME late",IF(N(L486)&gt;0,"Overdue",IF(N(V486)&lt;=Setup!$C$9,"⚠ MSME due soon",IF(K486&lt;E486,"Part paid","Not due"))))))</f>
        <v/>
      </c>
      <c r="O486" s="50" t="str">
        <f aca="false">IF(AND(D486="",B486="",C486="",E486=""),"",IF(D486="","⚠ Pick supplier",IF(ISNA(MATCH(D486,Suppliers!$B$7:$B$106,0)),"⚠ Supplier not in list",IF(B486="","⚠ Enter bill date",IF(N(E486)&lt;=0,"⚠ Enter amount",IF(AND(C486&lt;&gt;"",COUNTIFS($D$8:$D$507,D486,$C$8:$C$507,C486)&gt;1),"⚠ Bill no. used twice",IF(N(I486)&gt;N(E486),"⚠ Paid more than bill","✔")))))))</f>
        <v/>
      </c>
      <c r="P486" s="9" t="n">
        <f aca="false">IF(D486="",0,MAX(0,N(E486)-N(I486)))</f>
        <v>0</v>
      </c>
      <c r="Q486" s="9" t="n">
        <f aca="false">IF(D486="",0,SUMIFS($P$8:$P$507,$D$8:$D$507,D486,$B$8:$B$507,"&lt;"&amp;B486)+SUMIFS($P$8:P485,$D$8:D485,D486,$B$8:B485,B486))</f>
        <v>0</v>
      </c>
      <c r="R486" s="9" t="n">
        <f aca="false">IF(D486="",0,IFERROR(INDEX(Suppliers!$R$7:$R$106,MATCH(D486,Suppliers!$B$7:$B$106,0)),0))</f>
        <v>0</v>
      </c>
      <c r="S486" s="9" t="str">
        <f aca="false">IF(N(K486)&gt;0,IF(H486="",99999,MIN(H486,IF(ISNUMBER(M486),M486,H486)))+ROW()/100000,"")</f>
        <v/>
      </c>
      <c r="U486" s="9" t="n">
        <f aca="false">IF(N(K486)&gt;0,N(L486),0)</f>
        <v>0</v>
      </c>
      <c r="V486" s="9" t="n">
        <f aca="false">IF(AND(N(K486)&gt;0,ISNUMBER(M486)),M486-Setup!$C$11,99999)</f>
        <v>99999</v>
      </c>
    </row>
    <row r="487" customFormat="false" ht="15" hidden="false" customHeight="false" outlineLevel="0" collapsed="false">
      <c r="A487" s="40" t="str">
        <f aca="false">IF(D487="","",ROW()-7)</f>
        <v/>
      </c>
      <c r="B487" s="79"/>
      <c r="C487" s="75"/>
      <c r="D487" s="76"/>
      <c r="E487" s="80"/>
      <c r="F487" s="79"/>
      <c r="G487" s="76"/>
      <c r="H487" s="54" t="str">
        <f aca="false">IF(OR(D487="",B487=""),"",IF(F487&lt;&gt;"",F487,B487+IFERROR(INDEX(Suppliers!$Q$7:$Q$106,MATCH(D487,Suppliers!$B$7:$B$106,0)),Setup!$C$7)))</f>
        <v/>
      </c>
      <c r="I487" s="46" t="str">
        <f aca="false">IF(OR(D487="",C487=""),IF(D487="","",0),SUMIFS(Payments!$D$8:$D$507,Payments!$C$8:$C$507,D487,Payments!$F$8:$F$507,C487))</f>
        <v/>
      </c>
      <c r="J487" s="46" t="str">
        <f aca="false">IF(D487="","",MIN(P487,MAX(0,R487-Q487)))</f>
        <v/>
      </c>
      <c r="K487" s="47" t="str">
        <f aca="false">IF(D487="","",P487-J487)</f>
        <v/>
      </c>
      <c r="L487" s="55" t="str">
        <f aca="false">IF(OR(D487="",N(K487)&lt;=0,H487=""),"",MAX(0,Setup!$C$11-H487))</f>
        <v/>
      </c>
      <c r="M487" s="54" t="str">
        <f aca="false">IF(OR(D487="",B487=""),"",IF(IFERROR(INDEX(Suppliers!$S$7:$S$106,MATCH(D487,Suppliers!$B$7:$B$106,0)),"")="","–",B487+IFERROR(INDEX(Suppliers!$S$7:$S$106,MATCH(D487,Suppliers!$B$7:$B$106,0)),"")))</f>
        <v/>
      </c>
      <c r="N487" s="56" t="str">
        <f aca="false">IF(D487="","",IF(N(K487)&lt;=0,"Paid",IF(AND(ISNUMBER(M487),Setup!$C$11&gt;M487),"⚠ MSME late",IF(N(L487)&gt;0,"Overdue",IF(N(V487)&lt;=Setup!$C$9,"⚠ MSME due soon",IF(K487&lt;E487,"Part paid","Not due"))))))</f>
        <v/>
      </c>
      <c r="O487" s="50" t="str">
        <f aca="false">IF(AND(D487="",B487="",C487="",E487=""),"",IF(D487="","⚠ Pick supplier",IF(ISNA(MATCH(D487,Suppliers!$B$7:$B$106,0)),"⚠ Supplier not in list",IF(B487="","⚠ Enter bill date",IF(N(E487)&lt;=0,"⚠ Enter amount",IF(AND(C487&lt;&gt;"",COUNTIFS($D$8:$D$507,D487,$C$8:$C$507,C487)&gt;1),"⚠ Bill no. used twice",IF(N(I487)&gt;N(E487),"⚠ Paid more than bill","✔")))))))</f>
        <v/>
      </c>
      <c r="P487" s="9" t="n">
        <f aca="false">IF(D487="",0,MAX(0,N(E487)-N(I487)))</f>
        <v>0</v>
      </c>
      <c r="Q487" s="9" t="n">
        <f aca="false">IF(D487="",0,SUMIFS($P$8:$P$507,$D$8:$D$507,D487,$B$8:$B$507,"&lt;"&amp;B487)+SUMIFS($P$8:P486,$D$8:D486,D487,$B$8:B486,B487))</f>
        <v>0</v>
      </c>
      <c r="R487" s="9" t="n">
        <f aca="false">IF(D487="",0,IFERROR(INDEX(Suppliers!$R$7:$R$106,MATCH(D487,Suppliers!$B$7:$B$106,0)),0))</f>
        <v>0</v>
      </c>
      <c r="S487" s="9" t="str">
        <f aca="false">IF(N(K487)&gt;0,IF(H487="",99999,MIN(H487,IF(ISNUMBER(M487),M487,H487)))+ROW()/100000,"")</f>
        <v/>
      </c>
      <c r="U487" s="9" t="n">
        <f aca="false">IF(N(K487)&gt;0,N(L487),0)</f>
        <v>0</v>
      </c>
      <c r="V487" s="9" t="n">
        <f aca="false">IF(AND(N(K487)&gt;0,ISNUMBER(M487)),M487-Setup!$C$11,99999)</f>
        <v>99999</v>
      </c>
    </row>
    <row r="488" customFormat="false" ht="15" hidden="false" customHeight="false" outlineLevel="0" collapsed="false">
      <c r="A488" s="40" t="str">
        <f aca="false">IF(D488="","",ROW()-7)</f>
        <v/>
      </c>
      <c r="B488" s="79"/>
      <c r="C488" s="75"/>
      <c r="D488" s="76"/>
      <c r="E488" s="80"/>
      <c r="F488" s="79"/>
      <c r="G488" s="76"/>
      <c r="H488" s="54" t="str">
        <f aca="false">IF(OR(D488="",B488=""),"",IF(F488&lt;&gt;"",F488,B488+IFERROR(INDEX(Suppliers!$Q$7:$Q$106,MATCH(D488,Suppliers!$B$7:$B$106,0)),Setup!$C$7)))</f>
        <v/>
      </c>
      <c r="I488" s="46" t="str">
        <f aca="false">IF(OR(D488="",C488=""),IF(D488="","",0),SUMIFS(Payments!$D$8:$D$507,Payments!$C$8:$C$507,D488,Payments!$F$8:$F$507,C488))</f>
        <v/>
      </c>
      <c r="J488" s="46" t="str">
        <f aca="false">IF(D488="","",MIN(P488,MAX(0,R488-Q488)))</f>
        <v/>
      </c>
      <c r="K488" s="47" t="str">
        <f aca="false">IF(D488="","",P488-J488)</f>
        <v/>
      </c>
      <c r="L488" s="55" t="str">
        <f aca="false">IF(OR(D488="",N(K488)&lt;=0,H488=""),"",MAX(0,Setup!$C$11-H488))</f>
        <v/>
      </c>
      <c r="M488" s="54" t="str">
        <f aca="false">IF(OR(D488="",B488=""),"",IF(IFERROR(INDEX(Suppliers!$S$7:$S$106,MATCH(D488,Suppliers!$B$7:$B$106,0)),"")="","–",B488+IFERROR(INDEX(Suppliers!$S$7:$S$106,MATCH(D488,Suppliers!$B$7:$B$106,0)),"")))</f>
        <v/>
      </c>
      <c r="N488" s="56" t="str">
        <f aca="false">IF(D488="","",IF(N(K488)&lt;=0,"Paid",IF(AND(ISNUMBER(M488),Setup!$C$11&gt;M488),"⚠ MSME late",IF(N(L488)&gt;0,"Overdue",IF(N(V488)&lt;=Setup!$C$9,"⚠ MSME due soon",IF(K488&lt;E488,"Part paid","Not due"))))))</f>
        <v/>
      </c>
      <c r="O488" s="50" t="str">
        <f aca="false">IF(AND(D488="",B488="",C488="",E488=""),"",IF(D488="","⚠ Pick supplier",IF(ISNA(MATCH(D488,Suppliers!$B$7:$B$106,0)),"⚠ Supplier not in list",IF(B488="","⚠ Enter bill date",IF(N(E488)&lt;=0,"⚠ Enter amount",IF(AND(C488&lt;&gt;"",COUNTIFS($D$8:$D$507,D488,$C$8:$C$507,C488)&gt;1),"⚠ Bill no. used twice",IF(N(I488)&gt;N(E488),"⚠ Paid more than bill","✔")))))))</f>
        <v/>
      </c>
      <c r="P488" s="9" t="n">
        <f aca="false">IF(D488="",0,MAX(0,N(E488)-N(I488)))</f>
        <v>0</v>
      </c>
      <c r="Q488" s="9" t="n">
        <f aca="false">IF(D488="",0,SUMIFS($P$8:$P$507,$D$8:$D$507,D488,$B$8:$B$507,"&lt;"&amp;B488)+SUMIFS($P$8:P487,$D$8:D487,D488,$B$8:B487,B488))</f>
        <v>0</v>
      </c>
      <c r="R488" s="9" t="n">
        <f aca="false">IF(D488="",0,IFERROR(INDEX(Suppliers!$R$7:$R$106,MATCH(D488,Suppliers!$B$7:$B$106,0)),0))</f>
        <v>0</v>
      </c>
      <c r="S488" s="9" t="str">
        <f aca="false">IF(N(K488)&gt;0,IF(H488="",99999,MIN(H488,IF(ISNUMBER(M488),M488,H488)))+ROW()/100000,"")</f>
        <v/>
      </c>
      <c r="U488" s="9" t="n">
        <f aca="false">IF(N(K488)&gt;0,N(L488),0)</f>
        <v>0</v>
      </c>
      <c r="V488" s="9" t="n">
        <f aca="false">IF(AND(N(K488)&gt;0,ISNUMBER(M488)),M488-Setup!$C$11,99999)</f>
        <v>99999</v>
      </c>
    </row>
    <row r="489" customFormat="false" ht="15" hidden="false" customHeight="false" outlineLevel="0" collapsed="false">
      <c r="A489" s="40" t="str">
        <f aca="false">IF(D489="","",ROW()-7)</f>
        <v/>
      </c>
      <c r="B489" s="79"/>
      <c r="C489" s="75"/>
      <c r="D489" s="76"/>
      <c r="E489" s="80"/>
      <c r="F489" s="79"/>
      <c r="G489" s="76"/>
      <c r="H489" s="54" t="str">
        <f aca="false">IF(OR(D489="",B489=""),"",IF(F489&lt;&gt;"",F489,B489+IFERROR(INDEX(Suppliers!$Q$7:$Q$106,MATCH(D489,Suppliers!$B$7:$B$106,0)),Setup!$C$7)))</f>
        <v/>
      </c>
      <c r="I489" s="46" t="str">
        <f aca="false">IF(OR(D489="",C489=""),IF(D489="","",0),SUMIFS(Payments!$D$8:$D$507,Payments!$C$8:$C$507,D489,Payments!$F$8:$F$507,C489))</f>
        <v/>
      </c>
      <c r="J489" s="46" t="str">
        <f aca="false">IF(D489="","",MIN(P489,MAX(0,R489-Q489)))</f>
        <v/>
      </c>
      <c r="K489" s="47" t="str">
        <f aca="false">IF(D489="","",P489-J489)</f>
        <v/>
      </c>
      <c r="L489" s="55" t="str">
        <f aca="false">IF(OR(D489="",N(K489)&lt;=0,H489=""),"",MAX(0,Setup!$C$11-H489))</f>
        <v/>
      </c>
      <c r="M489" s="54" t="str">
        <f aca="false">IF(OR(D489="",B489=""),"",IF(IFERROR(INDEX(Suppliers!$S$7:$S$106,MATCH(D489,Suppliers!$B$7:$B$106,0)),"")="","–",B489+IFERROR(INDEX(Suppliers!$S$7:$S$106,MATCH(D489,Suppliers!$B$7:$B$106,0)),"")))</f>
        <v/>
      </c>
      <c r="N489" s="56" t="str">
        <f aca="false">IF(D489="","",IF(N(K489)&lt;=0,"Paid",IF(AND(ISNUMBER(M489),Setup!$C$11&gt;M489),"⚠ MSME late",IF(N(L489)&gt;0,"Overdue",IF(N(V489)&lt;=Setup!$C$9,"⚠ MSME due soon",IF(K489&lt;E489,"Part paid","Not due"))))))</f>
        <v/>
      </c>
      <c r="O489" s="50" t="str">
        <f aca="false">IF(AND(D489="",B489="",C489="",E489=""),"",IF(D489="","⚠ Pick supplier",IF(ISNA(MATCH(D489,Suppliers!$B$7:$B$106,0)),"⚠ Supplier not in list",IF(B489="","⚠ Enter bill date",IF(N(E489)&lt;=0,"⚠ Enter amount",IF(AND(C489&lt;&gt;"",COUNTIFS($D$8:$D$507,D489,$C$8:$C$507,C489)&gt;1),"⚠ Bill no. used twice",IF(N(I489)&gt;N(E489),"⚠ Paid more than bill","✔")))))))</f>
        <v/>
      </c>
      <c r="P489" s="9" t="n">
        <f aca="false">IF(D489="",0,MAX(0,N(E489)-N(I489)))</f>
        <v>0</v>
      </c>
      <c r="Q489" s="9" t="n">
        <f aca="false">IF(D489="",0,SUMIFS($P$8:$P$507,$D$8:$D$507,D489,$B$8:$B$507,"&lt;"&amp;B489)+SUMIFS($P$8:P488,$D$8:D488,D489,$B$8:B488,B489))</f>
        <v>0</v>
      </c>
      <c r="R489" s="9" t="n">
        <f aca="false">IF(D489="",0,IFERROR(INDEX(Suppliers!$R$7:$R$106,MATCH(D489,Suppliers!$B$7:$B$106,0)),0))</f>
        <v>0</v>
      </c>
      <c r="S489" s="9" t="str">
        <f aca="false">IF(N(K489)&gt;0,IF(H489="",99999,MIN(H489,IF(ISNUMBER(M489),M489,H489)))+ROW()/100000,"")</f>
        <v/>
      </c>
      <c r="U489" s="9" t="n">
        <f aca="false">IF(N(K489)&gt;0,N(L489),0)</f>
        <v>0</v>
      </c>
      <c r="V489" s="9" t="n">
        <f aca="false">IF(AND(N(K489)&gt;0,ISNUMBER(M489)),M489-Setup!$C$11,99999)</f>
        <v>99999</v>
      </c>
    </row>
    <row r="490" customFormat="false" ht="15" hidden="false" customHeight="false" outlineLevel="0" collapsed="false">
      <c r="A490" s="40" t="str">
        <f aca="false">IF(D490="","",ROW()-7)</f>
        <v/>
      </c>
      <c r="B490" s="79"/>
      <c r="C490" s="75"/>
      <c r="D490" s="76"/>
      <c r="E490" s="80"/>
      <c r="F490" s="79"/>
      <c r="G490" s="76"/>
      <c r="H490" s="54" t="str">
        <f aca="false">IF(OR(D490="",B490=""),"",IF(F490&lt;&gt;"",F490,B490+IFERROR(INDEX(Suppliers!$Q$7:$Q$106,MATCH(D490,Suppliers!$B$7:$B$106,0)),Setup!$C$7)))</f>
        <v/>
      </c>
      <c r="I490" s="46" t="str">
        <f aca="false">IF(OR(D490="",C490=""),IF(D490="","",0),SUMIFS(Payments!$D$8:$D$507,Payments!$C$8:$C$507,D490,Payments!$F$8:$F$507,C490))</f>
        <v/>
      </c>
      <c r="J490" s="46" t="str">
        <f aca="false">IF(D490="","",MIN(P490,MAX(0,R490-Q490)))</f>
        <v/>
      </c>
      <c r="K490" s="47" t="str">
        <f aca="false">IF(D490="","",P490-J490)</f>
        <v/>
      </c>
      <c r="L490" s="55" t="str">
        <f aca="false">IF(OR(D490="",N(K490)&lt;=0,H490=""),"",MAX(0,Setup!$C$11-H490))</f>
        <v/>
      </c>
      <c r="M490" s="54" t="str">
        <f aca="false">IF(OR(D490="",B490=""),"",IF(IFERROR(INDEX(Suppliers!$S$7:$S$106,MATCH(D490,Suppliers!$B$7:$B$106,0)),"")="","–",B490+IFERROR(INDEX(Suppliers!$S$7:$S$106,MATCH(D490,Suppliers!$B$7:$B$106,0)),"")))</f>
        <v/>
      </c>
      <c r="N490" s="56" t="str">
        <f aca="false">IF(D490="","",IF(N(K490)&lt;=0,"Paid",IF(AND(ISNUMBER(M490),Setup!$C$11&gt;M490),"⚠ MSME late",IF(N(L490)&gt;0,"Overdue",IF(N(V490)&lt;=Setup!$C$9,"⚠ MSME due soon",IF(K490&lt;E490,"Part paid","Not due"))))))</f>
        <v/>
      </c>
      <c r="O490" s="50" t="str">
        <f aca="false">IF(AND(D490="",B490="",C490="",E490=""),"",IF(D490="","⚠ Pick supplier",IF(ISNA(MATCH(D490,Suppliers!$B$7:$B$106,0)),"⚠ Supplier not in list",IF(B490="","⚠ Enter bill date",IF(N(E490)&lt;=0,"⚠ Enter amount",IF(AND(C490&lt;&gt;"",COUNTIFS($D$8:$D$507,D490,$C$8:$C$507,C490)&gt;1),"⚠ Bill no. used twice",IF(N(I490)&gt;N(E490),"⚠ Paid more than bill","✔")))))))</f>
        <v/>
      </c>
      <c r="P490" s="9" t="n">
        <f aca="false">IF(D490="",0,MAX(0,N(E490)-N(I490)))</f>
        <v>0</v>
      </c>
      <c r="Q490" s="9" t="n">
        <f aca="false">IF(D490="",0,SUMIFS($P$8:$P$507,$D$8:$D$507,D490,$B$8:$B$507,"&lt;"&amp;B490)+SUMIFS($P$8:P489,$D$8:D489,D490,$B$8:B489,B490))</f>
        <v>0</v>
      </c>
      <c r="R490" s="9" t="n">
        <f aca="false">IF(D490="",0,IFERROR(INDEX(Suppliers!$R$7:$R$106,MATCH(D490,Suppliers!$B$7:$B$106,0)),0))</f>
        <v>0</v>
      </c>
      <c r="S490" s="9" t="str">
        <f aca="false">IF(N(K490)&gt;0,IF(H490="",99999,MIN(H490,IF(ISNUMBER(M490),M490,H490)))+ROW()/100000,"")</f>
        <v/>
      </c>
      <c r="U490" s="9" t="n">
        <f aca="false">IF(N(K490)&gt;0,N(L490),0)</f>
        <v>0</v>
      </c>
      <c r="V490" s="9" t="n">
        <f aca="false">IF(AND(N(K490)&gt;0,ISNUMBER(M490)),M490-Setup!$C$11,99999)</f>
        <v>99999</v>
      </c>
    </row>
    <row r="491" customFormat="false" ht="15" hidden="false" customHeight="false" outlineLevel="0" collapsed="false">
      <c r="A491" s="40" t="str">
        <f aca="false">IF(D491="","",ROW()-7)</f>
        <v/>
      </c>
      <c r="B491" s="79"/>
      <c r="C491" s="75"/>
      <c r="D491" s="76"/>
      <c r="E491" s="80"/>
      <c r="F491" s="79"/>
      <c r="G491" s="76"/>
      <c r="H491" s="54" t="str">
        <f aca="false">IF(OR(D491="",B491=""),"",IF(F491&lt;&gt;"",F491,B491+IFERROR(INDEX(Suppliers!$Q$7:$Q$106,MATCH(D491,Suppliers!$B$7:$B$106,0)),Setup!$C$7)))</f>
        <v/>
      </c>
      <c r="I491" s="46" t="str">
        <f aca="false">IF(OR(D491="",C491=""),IF(D491="","",0),SUMIFS(Payments!$D$8:$D$507,Payments!$C$8:$C$507,D491,Payments!$F$8:$F$507,C491))</f>
        <v/>
      </c>
      <c r="J491" s="46" t="str">
        <f aca="false">IF(D491="","",MIN(P491,MAX(0,R491-Q491)))</f>
        <v/>
      </c>
      <c r="K491" s="47" t="str">
        <f aca="false">IF(D491="","",P491-J491)</f>
        <v/>
      </c>
      <c r="L491" s="55" t="str">
        <f aca="false">IF(OR(D491="",N(K491)&lt;=0,H491=""),"",MAX(0,Setup!$C$11-H491))</f>
        <v/>
      </c>
      <c r="M491" s="54" t="str">
        <f aca="false">IF(OR(D491="",B491=""),"",IF(IFERROR(INDEX(Suppliers!$S$7:$S$106,MATCH(D491,Suppliers!$B$7:$B$106,0)),"")="","–",B491+IFERROR(INDEX(Suppliers!$S$7:$S$106,MATCH(D491,Suppliers!$B$7:$B$106,0)),"")))</f>
        <v/>
      </c>
      <c r="N491" s="56" t="str">
        <f aca="false">IF(D491="","",IF(N(K491)&lt;=0,"Paid",IF(AND(ISNUMBER(M491),Setup!$C$11&gt;M491),"⚠ MSME late",IF(N(L491)&gt;0,"Overdue",IF(N(V491)&lt;=Setup!$C$9,"⚠ MSME due soon",IF(K491&lt;E491,"Part paid","Not due"))))))</f>
        <v/>
      </c>
      <c r="O491" s="50" t="str">
        <f aca="false">IF(AND(D491="",B491="",C491="",E491=""),"",IF(D491="","⚠ Pick supplier",IF(ISNA(MATCH(D491,Suppliers!$B$7:$B$106,0)),"⚠ Supplier not in list",IF(B491="","⚠ Enter bill date",IF(N(E491)&lt;=0,"⚠ Enter amount",IF(AND(C491&lt;&gt;"",COUNTIFS($D$8:$D$507,D491,$C$8:$C$507,C491)&gt;1),"⚠ Bill no. used twice",IF(N(I491)&gt;N(E491),"⚠ Paid more than bill","✔")))))))</f>
        <v/>
      </c>
      <c r="P491" s="9" t="n">
        <f aca="false">IF(D491="",0,MAX(0,N(E491)-N(I491)))</f>
        <v>0</v>
      </c>
      <c r="Q491" s="9" t="n">
        <f aca="false">IF(D491="",0,SUMIFS($P$8:$P$507,$D$8:$D$507,D491,$B$8:$B$507,"&lt;"&amp;B491)+SUMIFS($P$8:P490,$D$8:D490,D491,$B$8:B490,B491))</f>
        <v>0</v>
      </c>
      <c r="R491" s="9" t="n">
        <f aca="false">IF(D491="",0,IFERROR(INDEX(Suppliers!$R$7:$R$106,MATCH(D491,Suppliers!$B$7:$B$106,0)),0))</f>
        <v>0</v>
      </c>
      <c r="S491" s="9" t="str">
        <f aca="false">IF(N(K491)&gt;0,IF(H491="",99999,MIN(H491,IF(ISNUMBER(M491),M491,H491)))+ROW()/100000,"")</f>
        <v/>
      </c>
      <c r="U491" s="9" t="n">
        <f aca="false">IF(N(K491)&gt;0,N(L491),0)</f>
        <v>0</v>
      </c>
      <c r="V491" s="9" t="n">
        <f aca="false">IF(AND(N(K491)&gt;0,ISNUMBER(M491)),M491-Setup!$C$11,99999)</f>
        <v>99999</v>
      </c>
    </row>
    <row r="492" customFormat="false" ht="15" hidden="false" customHeight="false" outlineLevel="0" collapsed="false">
      <c r="A492" s="40" t="str">
        <f aca="false">IF(D492="","",ROW()-7)</f>
        <v/>
      </c>
      <c r="B492" s="79"/>
      <c r="C492" s="75"/>
      <c r="D492" s="76"/>
      <c r="E492" s="80"/>
      <c r="F492" s="79"/>
      <c r="G492" s="76"/>
      <c r="H492" s="54" t="str">
        <f aca="false">IF(OR(D492="",B492=""),"",IF(F492&lt;&gt;"",F492,B492+IFERROR(INDEX(Suppliers!$Q$7:$Q$106,MATCH(D492,Suppliers!$B$7:$B$106,0)),Setup!$C$7)))</f>
        <v/>
      </c>
      <c r="I492" s="46" t="str">
        <f aca="false">IF(OR(D492="",C492=""),IF(D492="","",0),SUMIFS(Payments!$D$8:$D$507,Payments!$C$8:$C$507,D492,Payments!$F$8:$F$507,C492))</f>
        <v/>
      </c>
      <c r="J492" s="46" t="str">
        <f aca="false">IF(D492="","",MIN(P492,MAX(0,R492-Q492)))</f>
        <v/>
      </c>
      <c r="K492" s="47" t="str">
        <f aca="false">IF(D492="","",P492-J492)</f>
        <v/>
      </c>
      <c r="L492" s="55" t="str">
        <f aca="false">IF(OR(D492="",N(K492)&lt;=0,H492=""),"",MAX(0,Setup!$C$11-H492))</f>
        <v/>
      </c>
      <c r="M492" s="54" t="str">
        <f aca="false">IF(OR(D492="",B492=""),"",IF(IFERROR(INDEX(Suppliers!$S$7:$S$106,MATCH(D492,Suppliers!$B$7:$B$106,0)),"")="","–",B492+IFERROR(INDEX(Suppliers!$S$7:$S$106,MATCH(D492,Suppliers!$B$7:$B$106,0)),"")))</f>
        <v/>
      </c>
      <c r="N492" s="56" t="str">
        <f aca="false">IF(D492="","",IF(N(K492)&lt;=0,"Paid",IF(AND(ISNUMBER(M492),Setup!$C$11&gt;M492),"⚠ MSME late",IF(N(L492)&gt;0,"Overdue",IF(N(V492)&lt;=Setup!$C$9,"⚠ MSME due soon",IF(K492&lt;E492,"Part paid","Not due"))))))</f>
        <v/>
      </c>
      <c r="O492" s="50" t="str">
        <f aca="false">IF(AND(D492="",B492="",C492="",E492=""),"",IF(D492="","⚠ Pick supplier",IF(ISNA(MATCH(D492,Suppliers!$B$7:$B$106,0)),"⚠ Supplier not in list",IF(B492="","⚠ Enter bill date",IF(N(E492)&lt;=0,"⚠ Enter amount",IF(AND(C492&lt;&gt;"",COUNTIFS($D$8:$D$507,D492,$C$8:$C$507,C492)&gt;1),"⚠ Bill no. used twice",IF(N(I492)&gt;N(E492),"⚠ Paid more than bill","✔")))))))</f>
        <v/>
      </c>
      <c r="P492" s="9" t="n">
        <f aca="false">IF(D492="",0,MAX(0,N(E492)-N(I492)))</f>
        <v>0</v>
      </c>
      <c r="Q492" s="9" t="n">
        <f aca="false">IF(D492="",0,SUMIFS($P$8:$P$507,$D$8:$D$507,D492,$B$8:$B$507,"&lt;"&amp;B492)+SUMIFS($P$8:P491,$D$8:D491,D492,$B$8:B491,B492))</f>
        <v>0</v>
      </c>
      <c r="R492" s="9" t="n">
        <f aca="false">IF(D492="",0,IFERROR(INDEX(Suppliers!$R$7:$R$106,MATCH(D492,Suppliers!$B$7:$B$106,0)),0))</f>
        <v>0</v>
      </c>
      <c r="S492" s="9" t="str">
        <f aca="false">IF(N(K492)&gt;0,IF(H492="",99999,MIN(H492,IF(ISNUMBER(M492),M492,H492)))+ROW()/100000,"")</f>
        <v/>
      </c>
      <c r="U492" s="9" t="n">
        <f aca="false">IF(N(K492)&gt;0,N(L492),0)</f>
        <v>0</v>
      </c>
      <c r="V492" s="9" t="n">
        <f aca="false">IF(AND(N(K492)&gt;0,ISNUMBER(M492)),M492-Setup!$C$11,99999)</f>
        <v>99999</v>
      </c>
    </row>
    <row r="493" customFormat="false" ht="15" hidden="false" customHeight="false" outlineLevel="0" collapsed="false">
      <c r="A493" s="40" t="str">
        <f aca="false">IF(D493="","",ROW()-7)</f>
        <v/>
      </c>
      <c r="B493" s="79"/>
      <c r="C493" s="75"/>
      <c r="D493" s="76"/>
      <c r="E493" s="80"/>
      <c r="F493" s="79"/>
      <c r="G493" s="76"/>
      <c r="H493" s="54" t="str">
        <f aca="false">IF(OR(D493="",B493=""),"",IF(F493&lt;&gt;"",F493,B493+IFERROR(INDEX(Suppliers!$Q$7:$Q$106,MATCH(D493,Suppliers!$B$7:$B$106,0)),Setup!$C$7)))</f>
        <v/>
      </c>
      <c r="I493" s="46" t="str">
        <f aca="false">IF(OR(D493="",C493=""),IF(D493="","",0),SUMIFS(Payments!$D$8:$D$507,Payments!$C$8:$C$507,D493,Payments!$F$8:$F$507,C493))</f>
        <v/>
      </c>
      <c r="J493" s="46" t="str">
        <f aca="false">IF(D493="","",MIN(P493,MAX(0,R493-Q493)))</f>
        <v/>
      </c>
      <c r="K493" s="47" t="str">
        <f aca="false">IF(D493="","",P493-J493)</f>
        <v/>
      </c>
      <c r="L493" s="55" t="str">
        <f aca="false">IF(OR(D493="",N(K493)&lt;=0,H493=""),"",MAX(0,Setup!$C$11-H493))</f>
        <v/>
      </c>
      <c r="M493" s="54" t="str">
        <f aca="false">IF(OR(D493="",B493=""),"",IF(IFERROR(INDEX(Suppliers!$S$7:$S$106,MATCH(D493,Suppliers!$B$7:$B$106,0)),"")="","–",B493+IFERROR(INDEX(Suppliers!$S$7:$S$106,MATCH(D493,Suppliers!$B$7:$B$106,0)),"")))</f>
        <v/>
      </c>
      <c r="N493" s="56" t="str">
        <f aca="false">IF(D493="","",IF(N(K493)&lt;=0,"Paid",IF(AND(ISNUMBER(M493),Setup!$C$11&gt;M493),"⚠ MSME late",IF(N(L493)&gt;0,"Overdue",IF(N(V493)&lt;=Setup!$C$9,"⚠ MSME due soon",IF(K493&lt;E493,"Part paid","Not due"))))))</f>
        <v/>
      </c>
      <c r="O493" s="50" t="str">
        <f aca="false">IF(AND(D493="",B493="",C493="",E493=""),"",IF(D493="","⚠ Pick supplier",IF(ISNA(MATCH(D493,Suppliers!$B$7:$B$106,0)),"⚠ Supplier not in list",IF(B493="","⚠ Enter bill date",IF(N(E493)&lt;=0,"⚠ Enter amount",IF(AND(C493&lt;&gt;"",COUNTIFS($D$8:$D$507,D493,$C$8:$C$507,C493)&gt;1),"⚠ Bill no. used twice",IF(N(I493)&gt;N(E493),"⚠ Paid more than bill","✔")))))))</f>
        <v/>
      </c>
      <c r="P493" s="9" t="n">
        <f aca="false">IF(D493="",0,MAX(0,N(E493)-N(I493)))</f>
        <v>0</v>
      </c>
      <c r="Q493" s="9" t="n">
        <f aca="false">IF(D493="",0,SUMIFS($P$8:$P$507,$D$8:$D$507,D493,$B$8:$B$507,"&lt;"&amp;B493)+SUMIFS($P$8:P492,$D$8:D492,D493,$B$8:B492,B493))</f>
        <v>0</v>
      </c>
      <c r="R493" s="9" t="n">
        <f aca="false">IF(D493="",0,IFERROR(INDEX(Suppliers!$R$7:$R$106,MATCH(D493,Suppliers!$B$7:$B$106,0)),0))</f>
        <v>0</v>
      </c>
      <c r="S493" s="9" t="str">
        <f aca="false">IF(N(K493)&gt;0,IF(H493="",99999,MIN(H493,IF(ISNUMBER(M493),M493,H493)))+ROW()/100000,"")</f>
        <v/>
      </c>
      <c r="U493" s="9" t="n">
        <f aca="false">IF(N(K493)&gt;0,N(L493),0)</f>
        <v>0</v>
      </c>
      <c r="V493" s="9" t="n">
        <f aca="false">IF(AND(N(K493)&gt;0,ISNUMBER(M493)),M493-Setup!$C$11,99999)</f>
        <v>99999</v>
      </c>
    </row>
    <row r="494" customFormat="false" ht="15" hidden="false" customHeight="false" outlineLevel="0" collapsed="false">
      <c r="A494" s="40" t="str">
        <f aca="false">IF(D494="","",ROW()-7)</f>
        <v/>
      </c>
      <c r="B494" s="79"/>
      <c r="C494" s="75"/>
      <c r="D494" s="76"/>
      <c r="E494" s="80"/>
      <c r="F494" s="79"/>
      <c r="G494" s="76"/>
      <c r="H494" s="54" t="str">
        <f aca="false">IF(OR(D494="",B494=""),"",IF(F494&lt;&gt;"",F494,B494+IFERROR(INDEX(Suppliers!$Q$7:$Q$106,MATCH(D494,Suppliers!$B$7:$B$106,0)),Setup!$C$7)))</f>
        <v/>
      </c>
      <c r="I494" s="46" t="str">
        <f aca="false">IF(OR(D494="",C494=""),IF(D494="","",0),SUMIFS(Payments!$D$8:$D$507,Payments!$C$8:$C$507,D494,Payments!$F$8:$F$507,C494))</f>
        <v/>
      </c>
      <c r="J494" s="46" t="str">
        <f aca="false">IF(D494="","",MIN(P494,MAX(0,R494-Q494)))</f>
        <v/>
      </c>
      <c r="K494" s="47" t="str">
        <f aca="false">IF(D494="","",P494-J494)</f>
        <v/>
      </c>
      <c r="L494" s="55" t="str">
        <f aca="false">IF(OR(D494="",N(K494)&lt;=0,H494=""),"",MAX(0,Setup!$C$11-H494))</f>
        <v/>
      </c>
      <c r="M494" s="54" t="str">
        <f aca="false">IF(OR(D494="",B494=""),"",IF(IFERROR(INDEX(Suppliers!$S$7:$S$106,MATCH(D494,Suppliers!$B$7:$B$106,0)),"")="","–",B494+IFERROR(INDEX(Suppliers!$S$7:$S$106,MATCH(D494,Suppliers!$B$7:$B$106,0)),"")))</f>
        <v/>
      </c>
      <c r="N494" s="56" t="str">
        <f aca="false">IF(D494="","",IF(N(K494)&lt;=0,"Paid",IF(AND(ISNUMBER(M494),Setup!$C$11&gt;M494),"⚠ MSME late",IF(N(L494)&gt;0,"Overdue",IF(N(V494)&lt;=Setup!$C$9,"⚠ MSME due soon",IF(K494&lt;E494,"Part paid","Not due"))))))</f>
        <v/>
      </c>
      <c r="O494" s="50" t="str">
        <f aca="false">IF(AND(D494="",B494="",C494="",E494=""),"",IF(D494="","⚠ Pick supplier",IF(ISNA(MATCH(D494,Suppliers!$B$7:$B$106,0)),"⚠ Supplier not in list",IF(B494="","⚠ Enter bill date",IF(N(E494)&lt;=0,"⚠ Enter amount",IF(AND(C494&lt;&gt;"",COUNTIFS($D$8:$D$507,D494,$C$8:$C$507,C494)&gt;1),"⚠ Bill no. used twice",IF(N(I494)&gt;N(E494),"⚠ Paid more than bill","✔")))))))</f>
        <v/>
      </c>
      <c r="P494" s="9" t="n">
        <f aca="false">IF(D494="",0,MAX(0,N(E494)-N(I494)))</f>
        <v>0</v>
      </c>
      <c r="Q494" s="9" t="n">
        <f aca="false">IF(D494="",0,SUMIFS($P$8:$P$507,$D$8:$D$507,D494,$B$8:$B$507,"&lt;"&amp;B494)+SUMIFS($P$8:P493,$D$8:D493,D494,$B$8:B493,B494))</f>
        <v>0</v>
      </c>
      <c r="R494" s="9" t="n">
        <f aca="false">IF(D494="",0,IFERROR(INDEX(Suppliers!$R$7:$R$106,MATCH(D494,Suppliers!$B$7:$B$106,0)),0))</f>
        <v>0</v>
      </c>
      <c r="S494" s="9" t="str">
        <f aca="false">IF(N(K494)&gt;0,IF(H494="",99999,MIN(H494,IF(ISNUMBER(M494),M494,H494)))+ROW()/100000,"")</f>
        <v/>
      </c>
      <c r="U494" s="9" t="n">
        <f aca="false">IF(N(K494)&gt;0,N(L494),0)</f>
        <v>0</v>
      </c>
      <c r="V494" s="9" t="n">
        <f aca="false">IF(AND(N(K494)&gt;0,ISNUMBER(M494)),M494-Setup!$C$11,99999)</f>
        <v>99999</v>
      </c>
    </row>
    <row r="495" customFormat="false" ht="15" hidden="false" customHeight="false" outlineLevel="0" collapsed="false">
      <c r="A495" s="40" t="str">
        <f aca="false">IF(D495="","",ROW()-7)</f>
        <v/>
      </c>
      <c r="B495" s="79"/>
      <c r="C495" s="75"/>
      <c r="D495" s="76"/>
      <c r="E495" s="80"/>
      <c r="F495" s="79"/>
      <c r="G495" s="76"/>
      <c r="H495" s="54" t="str">
        <f aca="false">IF(OR(D495="",B495=""),"",IF(F495&lt;&gt;"",F495,B495+IFERROR(INDEX(Suppliers!$Q$7:$Q$106,MATCH(D495,Suppliers!$B$7:$B$106,0)),Setup!$C$7)))</f>
        <v/>
      </c>
      <c r="I495" s="46" t="str">
        <f aca="false">IF(OR(D495="",C495=""),IF(D495="","",0),SUMIFS(Payments!$D$8:$D$507,Payments!$C$8:$C$507,D495,Payments!$F$8:$F$507,C495))</f>
        <v/>
      </c>
      <c r="J495" s="46" t="str">
        <f aca="false">IF(D495="","",MIN(P495,MAX(0,R495-Q495)))</f>
        <v/>
      </c>
      <c r="K495" s="47" t="str">
        <f aca="false">IF(D495="","",P495-J495)</f>
        <v/>
      </c>
      <c r="L495" s="55" t="str">
        <f aca="false">IF(OR(D495="",N(K495)&lt;=0,H495=""),"",MAX(0,Setup!$C$11-H495))</f>
        <v/>
      </c>
      <c r="M495" s="54" t="str">
        <f aca="false">IF(OR(D495="",B495=""),"",IF(IFERROR(INDEX(Suppliers!$S$7:$S$106,MATCH(D495,Suppliers!$B$7:$B$106,0)),"")="","–",B495+IFERROR(INDEX(Suppliers!$S$7:$S$106,MATCH(D495,Suppliers!$B$7:$B$106,0)),"")))</f>
        <v/>
      </c>
      <c r="N495" s="56" t="str">
        <f aca="false">IF(D495="","",IF(N(K495)&lt;=0,"Paid",IF(AND(ISNUMBER(M495),Setup!$C$11&gt;M495),"⚠ MSME late",IF(N(L495)&gt;0,"Overdue",IF(N(V495)&lt;=Setup!$C$9,"⚠ MSME due soon",IF(K495&lt;E495,"Part paid","Not due"))))))</f>
        <v/>
      </c>
      <c r="O495" s="50" t="str">
        <f aca="false">IF(AND(D495="",B495="",C495="",E495=""),"",IF(D495="","⚠ Pick supplier",IF(ISNA(MATCH(D495,Suppliers!$B$7:$B$106,0)),"⚠ Supplier not in list",IF(B495="","⚠ Enter bill date",IF(N(E495)&lt;=0,"⚠ Enter amount",IF(AND(C495&lt;&gt;"",COUNTIFS($D$8:$D$507,D495,$C$8:$C$507,C495)&gt;1),"⚠ Bill no. used twice",IF(N(I495)&gt;N(E495),"⚠ Paid more than bill","✔")))))))</f>
        <v/>
      </c>
      <c r="P495" s="9" t="n">
        <f aca="false">IF(D495="",0,MAX(0,N(E495)-N(I495)))</f>
        <v>0</v>
      </c>
      <c r="Q495" s="9" t="n">
        <f aca="false">IF(D495="",0,SUMIFS($P$8:$P$507,$D$8:$D$507,D495,$B$8:$B$507,"&lt;"&amp;B495)+SUMIFS($P$8:P494,$D$8:D494,D495,$B$8:B494,B495))</f>
        <v>0</v>
      </c>
      <c r="R495" s="9" t="n">
        <f aca="false">IF(D495="",0,IFERROR(INDEX(Suppliers!$R$7:$R$106,MATCH(D495,Suppliers!$B$7:$B$106,0)),0))</f>
        <v>0</v>
      </c>
      <c r="S495" s="9" t="str">
        <f aca="false">IF(N(K495)&gt;0,IF(H495="",99999,MIN(H495,IF(ISNUMBER(M495),M495,H495)))+ROW()/100000,"")</f>
        <v/>
      </c>
      <c r="U495" s="9" t="n">
        <f aca="false">IF(N(K495)&gt;0,N(L495),0)</f>
        <v>0</v>
      </c>
      <c r="V495" s="9" t="n">
        <f aca="false">IF(AND(N(K495)&gt;0,ISNUMBER(M495)),M495-Setup!$C$11,99999)</f>
        <v>99999</v>
      </c>
    </row>
    <row r="496" customFormat="false" ht="15" hidden="false" customHeight="false" outlineLevel="0" collapsed="false">
      <c r="A496" s="40" t="str">
        <f aca="false">IF(D496="","",ROW()-7)</f>
        <v/>
      </c>
      <c r="B496" s="79"/>
      <c r="C496" s="75"/>
      <c r="D496" s="76"/>
      <c r="E496" s="80"/>
      <c r="F496" s="79"/>
      <c r="G496" s="76"/>
      <c r="H496" s="54" t="str">
        <f aca="false">IF(OR(D496="",B496=""),"",IF(F496&lt;&gt;"",F496,B496+IFERROR(INDEX(Suppliers!$Q$7:$Q$106,MATCH(D496,Suppliers!$B$7:$B$106,0)),Setup!$C$7)))</f>
        <v/>
      </c>
      <c r="I496" s="46" t="str">
        <f aca="false">IF(OR(D496="",C496=""),IF(D496="","",0),SUMIFS(Payments!$D$8:$D$507,Payments!$C$8:$C$507,D496,Payments!$F$8:$F$507,C496))</f>
        <v/>
      </c>
      <c r="J496" s="46" t="str">
        <f aca="false">IF(D496="","",MIN(P496,MAX(0,R496-Q496)))</f>
        <v/>
      </c>
      <c r="K496" s="47" t="str">
        <f aca="false">IF(D496="","",P496-J496)</f>
        <v/>
      </c>
      <c r="L496" s="55" t="str">
        <f aca="false">IF(OR(D496="",N(K496)&lt;=0,H496=""),"",MAX(0,Setup!$C$11-H496))</f>
        <v/>
      </c>
      <c r="M496" s="54" t="str">
        <f aca="false">IF(OR(D496="",B496=""),"",IF(IFERROR(INDEX(Suppliers!$S$7:$S$106,MATCH(D496,Suppliers!$B$7:$B$106,0)),"")="","–",B496+IFERROR(INDEX(Suppliers!$S$7:$S$106,MATCH(D496,Suppliers!$B$7:$B$106,0)),"")))</f>
        <v/>
      </c>
      <c r="N496" s="56" t="str">
        <f aca="false">IF(D496="","",IF(N(K496)&lt;=0,"Paid",IF(AND(ISNUMBER(M496),Setup!$C$11&gt;M496),"⚠ MSME late",IF(N(L496)&gt;0,"Overdue",IF(N(V496)&lt;=Setup!$C$9,"⚠ MSME due soon",IF(K496&lt;E496,"Part paid","Not due"))))))</f>
        <v/>
      </c>
      <c r="O496" s="50" t="str">
        <f aca="false">IF(AND(D496="",B496="",C496="",E496=""),"",IF(D496="","⚠ Pick supplier",IF(ISNA(MATCH(D496,Suppliers!$B$7:$B$106,0)),"⚠ Supplier not in list",IF(B496="","⚠ Enter bill date",IF(N(E496)&lt;=0,"⚠ Enter amount",IF(AND(C496&lt;&gt;"",COUNTIFS($D$8:$D$507,D496,$C$8:$C$507,C496)&gt;1),"⚠ Bill no. used twice",IF(N(I496)&gt;N(E496),"⚠ Paid more than bill","✔")))))))</f>
        <v/>
      </c>
      <c r="P496" s="9" t="n">
        <f aca="false">IF(D496="",0,MAX(0,N(E496)-N(I496)))</f>
        <v>0</v>
      </c>
      <c r="Q496" s="9" t="n">
        <f aca="false">IF(D496="",0,SUMIFS($P$8:$P$507,$D$8:$D$507,D496,$B$8:$B$507,"&lt;"&amp;B496)+SUMIFS($P$8:P495,$D$8:D495,D496,$B$8:B495,B496))</f>
        <v>0</v>
      </c>
      <c r="R496" s="9" t="n">
        <f aca="false">IF(D496="",0,IFERROR(INDEX(Suppliers!$R$7:$R$106,MATCH(D496,Suppliers!$B$7:$B$106,0)),0))</f>
        <v>0</v>
      </c>
      <c r="S496" s="9" t="str">
        <f aca="false">IF(N(K496)&gt;0,IF(H496="",99999,MIN(H496,IF(ISNUMBER(M496),M496,H496)))+ROW()/100000,"")</f>
        <v/>
      </c>
      <c r="U496" s="9" t="n">
        <f aca="false">IF(N(K496)&gt;0,N(L496),0)</f>
        <v>0</v>
      </c>
      <c r="V496" s="9" t="n">
        <f aca="false">IF(AND(N(K496)&gt;0,ISNUMBER(M496)),M496-Setup!$C$11,99999)</f>
        <v>99999</v>
      </c>
    </row>
    <row r="497" customFormat="false" ht="15" hidden="false" customHeight="false" outlineLevel="0" collapsed="false">
      <c r="A497" s="40" t="str">
        <f aca="false">IF(D497="","",ROW()-7)</f>
        <v/>
      </c>
      <c r="B497" s="79"/>
      <c r="C497" s="75"/>
      <c r="D497" s="76"/>
      <c r="E497" s="80"/>
      <c r="F497" s="79"/>
      <c r="G497" s="76"/>
      <c r="H497" s="54" t="str">
        <f aca="false">IF(OR(D497="",B497=""),"",IF(F497&lt;&gt;"",F497,B497+IFERROR(INDEX(Suppliers!$Q$7:$Q$106,MATCH(D497,Suppliers!$B$7:$B$106,0)),Setup!$C$7)))</f>
        <v/>
      </c>
      <c r="I497" s="46" t="str">
        <f aca="false">IF(OR(D497="",C497=""),IF(D497="","",0),SUMIFS(Payments!$D$8:$D$507,Payments!$C$8:$C$507,D497,Payments!$F$8:$F$507,C497))</f>
        <v/>
      </c>
      <c r="J497" s="46" t="str">
        <f aca="false">IF(D497="","",MIN(P497,MAX(0,R497-Q497)))</f>
        <v/>
      </c>
      <c r="K497" s="47" t="str">
        <f aca="false">IF(D497="","",P497-J497)</f>
        <v/>
      </c>
      <c r="L497" s="55" t="str">
        <f aca="false">IF(OR(D497="",N(K497)&lt;=0,H497=""),"",MAX(0,Setup!$C$11-H497))</f>
        <v/>
      </c>
      <c r="M497" s="54" t="str">
        <f aca="false">IF(OR(D497="",B497=""),"",IF(IFERROR(INDEX(Suppliers!$S$7:$S$106,MATCH(D497,Suppliers!$B$7:$B$106,0)),"")="","–",B497+IFERROR(INDEX(Suppliers!$S$7:$S$106,MATCH(D497,Suppliers!$B$7:$B$106,0)),"")))</f>
        <v/>
      </c>
      <c r="N497" s="56" t="str">
        <f aca="false">IF(D497="","",IF(N(K497)&lt;=0,"Paid",IF(AND(ISNUMBER(M497),Setup!$C$11&gt;M497),"⚠ MSME late",IF(N(L497)&gt;0,"Overdue",IF(N(V497)&lt;=Setup!$C$9,"⚠ MSME due soon",IF(K497&lt;E497,"Part paid","Not due"))))))</f>
        <v/>
      </c>
      <c r="O497" s="50" t="str">
        <f aca="false">IF(AND(D497="",B497="",C497="",E497=""),"",IF(D497="","⚠ Pick supplier",IF(ISNA(MATCH(D497,Suppliers!$B$7:$B$106,0)),"⚠ Supplier not in list",IF(B497="","⚠ Enter bill date",IF(N(E497)&lt;=0,"⚠ Enter amount",IF(AND(C497&lt;&gt;"",COUNTIFS($D$8:$D$507,D497,$C$8:$C$507,C497)&gt;1),"⚠ Bill no. used twice",IF(N(I497)&gt;N(E497),"⚠ Paid more than bill","✔")))))))</f>
        <v/>
      </c>
      <c r="P497" s="9" t="n">
        <f aca="false">IF(D497="",0,MAX(0,N(E497)-N(I497)))</f>
        <v>0</v>
      </c>
      <c r="Q497" s="9" t="n">
        <f aca="false">IF(D497="",0,SUMIFS($P$8:$P$507,$D$8:$D$507,D497,$B$8:$B$507,"&lt;"&amp;B497)+SUMIFS($P$8:P496,$D$8:D496,D497,$B$8:B496,B497))</f>
        <v>0</v>
      </c>
      <c r="R497" s="9" t="n">
        <f aca="false">IF(D497="",0,IFERROR(INDEX(Suppliers!$R$7:$R$106,MATCH(D497,Suppliers!$B$7:$B$106,0)),0))</f>
        <v>0</v>
      </c>
      <c r="S497" s="9" t="str">
        <f aca="false">IF(N(K497)&gt;0,IF(H497="",99999,MIN(H497,IF(ISNUMBER(M497),M497,H497)))+ROW()/100000,"")</f>
        <v/>
      </c>
      <c r="U497" s="9" t="n">
        <f aca="false">IF(N(K497)&gt;0,N(L497),0)</f>
        <v>0</v>
      </c>
      <c r="V497" s="9" t="n">
        <f aca="false">IF(AND(N(K497)&gt;0,ISNUMBER(M497)),M497-Setup!$C$11,99999)</f>
        <v>99999</v>
      </c>
    </row>
    <row r="498" customFormat="false" ht="15" hidden="false" customHeight="false" outlineLevel="0" collapsed="false">
      <c r="A498" s="40" t="str">
        <f aca="false">IF(D498="","",ROW()-7)</f>
        <v/>
      </c>
      <c r="B498" s="79"/>
      <c r="C498" s="75"/>
      <c r="D498" s="76"/>
      <c r="E498" s="80"/>
      <c r="F498" s="79"/>
      <c r="G498" s="76"/>
      <c r="H498" s="54" t="str">
        <f aca="false">IF(OR(D498="",B498=""),"",IF(F498&lt;&gt;"",F498,B498+IFERROR(INDEX(Suppliers!$Q$7:$Q$106,MATCH(D498,Suppliers!$B$7:$B$106,0)),Setup!$C$7)))</f>
        <v/>
      </c>
      <c r="I498" s="46" t="str">
        <f aca="false">IF(OR(D498="",C498=""),IF(D498="","",0),SUMIFS(Payments!$D$8:$D$507,Payments!$C$8:$C$507,D498,Payments!$F$8:$F$507,C498))</f>
        <v/>
      </c>
      <c r="J498" s="46" t="str">
        <f aca="false">IF(D498="","",MIN(P498,MAX(0,R498-Q498)))</f>
        <v/>
      </c>
      <c r="K498" s="47" t="str">
        <f aca="false">IF(D498="","",P498-J498)</f>
        <v/>
      </c>
      <c r="L498" s="55" t="str">
        <f aca="false">IF(OR(D498="",N(K498)&lt;=0,H498=""),"",MAX(0,Setup!$C$11-H498))</f>
        <v/>
      </c>
      <c r="M498" s="54" t="str">
        <f aca="false">IF(OR(D498="",B498=""),"",IF(IFERROR(INDEX(Suppliers!$S$7:$S$106,MATCH(D498,Suppliers!$B$7:$B$106,0)),"")="","–",B498+IFERROR(INDEX(Suppliers!$S$7:$S$106,MATCH(D498,Suppliers!$B$7:$B$106,0)),"")))</f>
        <v/>
      </c>
      <c r="N498" s="56" t="str">
        <f aca="false">IF(D498="","",IF(N(K498)&lt;=0,"Paid",IF(AND(ISNUMBER(M498),Setup!$C$11&gt;M498),"⚠ MSME late",IF(N(L498)&gt;0,"Overdue",IF(N(V498)&lt;=Setup!$C$9,"⚠ MSME due soon",IF(K498&lt;E498,"Part paid","Not due"))))))</f>
        <v/>
      </c>
      <c r="O498" s="50" t="str">
        <f aca="false">IF(AND(D498="",B498="",C498="",E498=""),"",IF(D498="","⚠ Pick supplier",IF(ISNA(MATCH(D498,Suppliers!$B$7:$B$106,0)),"⚠ Supplier not in list",IF(B498="","⚠ Enter bill date",IF(N(E498)&lt;=0,"⚠ Enter amount",IF(AND(C498&lt;&gt;"",COUNTIFS($D$8:$D$507,D498,$C$8:$C$507,C498)&gt;1),"⚠ Bill no. used twice",IF(N(I498)&gt;N(E498),"⚠ Paid more than bill","✔")))))))</f>
        <v/>
      </c>
      <c r="P498" s="9" t="n">
        <f aca="false">IF(D498="",0,MAX(0,N(E498)-N(I498)))</f>
        <v>0</v>
      </c>
      <c r="Q498" s="9" t="n">
        <f aca="false">IF(D498="",0,SUMIFS($P$8:$P$507,$D$8:$D$507,D498,$B$8:$B$507,"&lt;"&amp;B498)+SUMIFS($P$8:P497,$D$8:D497,D498,$B$8:B497,B498))</f>
        <v>0</v>
      </c>
      <c r="R498" s="9" t="n">
        <f aca="false">IF(D498="",0,IFERROR(INDEX(Suppliers!$R$7:$R$106,MATCH(D498,Suppliers!$B$7:$B$106,0)),0))</f>
        <v>0</v>
      </c>
      <c r="S498" s="9" t="str">
        <f aca="false">IF(N(K498)&gt;0,IF(H498="",99999,MIN(H498,IF(ISNUMBER(M498),M498,H498)))+ROW()/100000,"")</f>
        <v/>
      </c>
      <c r="U498" s="9" t="n">
        <f aca="false">IF(N(K498)&gt;0,N(L498),0)</f>
        <v>0</v>
      </c>
      <c r="V498" s="9" t="n">
        <f aca="false">IF(AND(N(K498)&gt;0,ISNUMBER(M498)),M498-Setup!$C$11,99999)</f>
        <v>99999</v>
      </c>
    </row>
    <row r="499" customFormat="false" ht="15" hidden="false" customHeight="false" outlineLevel="0" collapsed="false">
      <c r="A499" s="40" t="str">
        <f aca="false">IF(D499="","",ROW()-7)</f>
        <v/>
      </c>
      <c r="B499" s="79"/>
      <c r="C499" s="75"/>
      <c r="D499" s="76"/>
      <c r="E499" s="80"/>
      <c r="F499" s="79"/>
      <c r="G499" s="76"/>
      <c r="H499" s="54" t="str">
        <f aca="false">IF(OR(D499="",B499=""),"",IF(F499&lt;&gt;"",F499,B499+IFERROR(INDEX(Suppliers!$Q$7:$Q$106,MATCH(D499,Suppliers!$B$7:$B$106,0)),Setup!$C$7)))</f>
        <v/>
      </c>
      <c r="I499" s="46" t="str">
        <f aca="false">IF(OR(D499="",C499=""),IF(D499="","",0),SUMIFS(Payments!$D$8:$D$507,Payments!$C$8:$C$507,D499,Payments!$F$8:$F$507,C499))</f>
        <v/>
      </c>
      <c r="J499" s="46" t="str">
        <f aca="false">IF(D499="","",MIN(P499,MAX(0,R499-Q499)))</f>
        <v/>
      </c>
      <c r="K499" s="47" t="str">
        <f aca="false">IF(D499="","",P499-J499)</f>
        <v/>
      </c>
      <c r="L499" s="55" t="str">
        <f aca="false">IF(OR(D499="",N(K499)&lt;=0,H499=""),"",MAX(0,Setup!$C$11-H499))</f>
        <v/>
      </c>
      <c r="M499" s="54" t="str">
        <f aca="false">IF(OR(D499="",B499=""),"",IF(IFERROR(INDEX(Suppliers!$S$7:$S$106,MATCH(D499,Suppliers!$B$7:$B$106,0)),"")="","–",B499+IFERROR(INDEX(Suppliers!$S$7:$S$106,MATCH(D499,Suppliers!$B$7:$B$106,0)),"")))</f>
        <v/>
      </c>
      <c r="N499" s="56" t="str">
        <f aca="false">IF(D499="","",IF(N(K499)&lt;=0,"Paid",IF(AND(ISNUMBER(M499),Setup!$C$11&gt;M499),"⚠ MSME late",IF(N(L499)&gt;0,"Overdue",IF(N(V499)&lt;=Setup!$C$9,"⚠ MSME due soon",IF(K499&lt;E499,"Part paid","Not due"))))))</f>
        <v/>
      </c>
      <c r="O499" s="50" t="str">
        <f aca="false">IF(AND(D499="",B499="",C499="",E499=""),"",IF(D499="","⚠ Pick supplier",IF(ISNA(MATCH(D499,Suppliers!$B$7:$B$106,0)),"⚠ Supplier not in list",IF(B499="","⚠ Enter bill date",IF(N(E499)&lt;=0,"⚠ Enter amount",IF(AND(C499&lt;&gt;"",COUNTIFS($D$8:$D$507,D499,$C$8:$C$507,C499)&gt;1),"⚠ Bill no. used twice",IF(N(I499)&gt;N(E499),"⚠ Paid more than bill","✔")))))))</f>
        <v/>
      </c>
      <c r="P499" s="9" t="n">
        <f aca="false">IF(D499="",0,MAX(0,N(E499)-N(I499)))</f>
        <v>0</v>
      </c>
      <c r="Q499" s="9" t="n">
        <f aca="false">IF(D499="",0,SUMIFS($P$8:$P$507,$D$8:$D$507,D499,$B$8:$B$507,"&lt;"&amp;B499)+SUMIFS($P$8:P498,$D$8:D498,D499,$B$8:B498,B499))</f>
        <v>0</v>
      </c>
      <c r="R499" s="9" t="n">
        <f aca="false">IF(D499="",0,IFERROR(INDEX(Suppliers!$R$7:$R$106,MATCH(D499,Suppliers!$B$7:$B$106,0)),0))</f>
        <v>0</v>
      </c>
      <c r="S499" s="9" t="str">
        <f aca="false">IF(N(K499)&gt;0,IF(H499="",99999,MIN(H499,IF(ISNUMBER(M499),M499,H499)))+ROW()/100000,"")</f>
        <v/>
      </c>
      <c r="U499" s="9" t="n">
        <f aca="false">IF(N(K499)&gt;0,N(L499),0)</f>
        <v>0</v>
      </c>
      <c r="V499" s="9" t="n">
        <f aca="false">IF(AND(N(K499)&gt;0,ISNUMBER(M499)),M499-Setup!$C$11,99999)</f>
        <v>99999</v>
      </c>
    </row>
    <row r="500" customFormat="false" ht="15" hidden="false" customHeight="false" outlineLevel="0" collapsed="false">
      <c r="A500" s="40" t="str">
        <f aca="false">IF(D500="","",ROW()-7)</f>
        <v/>
      </c>
      <c r="B500" s="79"/>
      <c r="C500" s="75"/>
      <c r="D500" s="76"/>
      <c r="E500" s="80"/>
      <c r="F500" s="79"/>
      <c r="G500" s="76"/>
      <c r="H500" s="54" t="str">
        <f aca="false">IF(OR(D500="",B500=""),"",IF(F500&lt;&gt;"",F500,B500+IFERROR(INDEX(Suppliers!$Q$7:$Q$106,MATCH(D500,Suppliers!$B$7:$B$106,0)),Setup!$C$7)))</f>
        <v/>
      </c>
      <c r="I500" s="46" t="str">
        <f aca="false">IF(OR(D500="",C500=""),IF(D500="","",0),SUMIFS(Payments!$D$8:$D$507,Payments!$C$8:$C$507,D500,Payments!$F$8:$F$507,C500))</f>
        <v/>
      </c>
      <c r="J500" s="46" t="str">
        <f aca="false">IF(D500="","",MIN(P500,MAX(0,R500-Q500)))</f>
        <v/>
      </c>
      <c r="K500" s="47" t="str">
        <f aca="false">IF(D500="","",P500-J500)</f>
        <v/>
      </c>
      <c r="L500" s="55" t="str">
        <f aca="false">IF(OR(D500="",N(K500)&lt;=0,H500=""),"",MAX(0,Setup!$C$11-H500))</f>
        <v/>
      </c>
      <c r="M500" s="54" t="str">
        <f aca="false">IF(OR(D500="",B500=""),"",IF(IFERROR(INDEX(Suppliers!$S$7:$S$106,MATCH(D500,Suppliers!$B$7:$B$106,0)),"")="","–",B500+IFERROR(INDEX(Suppliers!$S$7:$S$106,MATCH(D500,Suppliers!$B$7:$B$106,0)),"")))</f>
        <v/>
      </c>
      <c r="N500" s="56" t="str">
        <f aca="false">IF(D500="","",IF(N(K500)&lt;=0,"Paid",IF(AND(ISNUMBER(M500),Setup!$C$11&gt;M500),"⚠ MSME late",IF(N(L500)&gt;0,"Overdue",IF(N(V500)&lt;=Setup!$C$9,"⚠ MSME due soon",IF(K500&lt;E500,"Part paid","Not due"))))))</f>
        <v/>
      </c>
      <c r="O500" s="50" t="str">
        <f aca="false">IF(AND(D500="",B500="",C500="",E500=""),"",IF(D500="","⚠ Pick supplier",IF(ISNA(MATCH(D500,Suppliers!$B$7:$B$106,0)),"⚠ Supplier not in list",IF(B500="","⚠ Enter bill date",IF(N(E500)&lt;=0,"⚠ Enter amount",IF(AND(C500&lt;&gt;"",COUNTIFS($D$8:$D$507,D500,$C$8:$C$507,C500)&gt;1),"⚠ Bill no. used twice",IF(N(I500)&gt;N(E500),"⚠ Paid more than bill","✔")))))))</f>
        <v/>
      </c>
      <c r="P500" s="9" t="n">
        <f aca="false">IF(D500="",0,MAX(0,N(E500)-N(I500)))</f>
        <v>0</v>
      </c>
      <c r="Q500" s="9" t="n">
        <f aca="false">IF(D500="",0,SUMIFS($P$8:$P$507,$D$8:$D$507,D500,$B$8:$B$507,"&lt;"&amp;B500)+SUMIFS($P$8:P499,$D$8:D499,D500,$B$8:B499,B500))</f>
        <v>0</v>
      </c>
      <c r="R500" s="9" t="n">
        <f aca="false">IF(D500="",0,IFERROR(INDEX(Suppliers!$R$7:$R$106,MATCH(D500,Suppliers!$B$7:$B$106,0)),0))</f>
        <v>0</v>
      </c>
      <c r="S500" s="9" t="str">
        <f aca="false">IF(N(K500)&gt;0,IF(H500="",99999,MIN(H500,IF(ISNUMBER(M500),M500,H500)))+ROW()/100000,"")</f>
        <v/>
      </c>
      <c r="U500" s="9" t="n">
        <f aca="false">IF(N(K500)&gt;0,N(L500),0)</f>
        <v>0</v>
      </c>
      <c r="V500" s="9" t="n">
        <f aca="false">IF(AND(N(K500)&gt;0,ISNUMBER(M500)),M500-Setup!$C$11,99999)</f>
        <v>99999</v>
      </c>
    </row>
    <row r="501" customFormat="false" ht="15" hidden="false" customHeight="false" outlineLevel="0" collapsed="false">
      <c r="A501" s="40" t="str">
        <f aca="false">IF(D501="","",ROW()-7)</f>
        <v/>
      </c>
      <c r="B501" s="79"/>
      <c r="C501" s="75"/>
      <c r="D501" s="76"/>
      <c r="E501" s="80"/>
      <c r="F501" s="79"/>
      <c r="G501" s="76"/>
      <c r="H501" s="54" t="str">
        <f aca="false">IF(OR(D501="",B501=""),"",IF(F501&lt;&gt;"",F501,B501+IFERROR(INDEX(Suppliers!$Q$7:$Q$106,MATCH(D501,Suppliers!$B$7:$B$106,0)),Setup!$C$7)))</f>
        <v/>
      </c>
      <c r="I501" s="46" t="str">
        <f aca="false">IF(OR(D501="",C501=""),IF(D501="","",0),SUMIFS(Payments!$D$8:$D$507,Payments!$C$8:$C$507,D501,Payments!$F$8:$F$507,C501))</f>
        <v/>
      </c>
      <c r="J501" s="46" t="str">
        <f aca="false">IF(D501="","",MIN(P501,MAX(0,R501-Q501)))</f>
        <v/>
      </c>
      <c r="K501" s="47" t="str">
        <f aca="false">IF(D501="","",P501-J501)</f>
        <v/>
      </c>
      <c r="L501" s="55" t="str">
        <f aca="false">IF(OR(D501="",N(K501)&lt;=0,H501=""),"",MAX(0,Setup!$C$11-H501))</f>
        <v/>
      </c>
      <c r="M501" s="54" t="str">
        <f aca="false">IF(OR(D501="",B501=""),"",IF(IFERROR(INDEX(Suppliers!$S$7:$S$106,MATCH(D501,Suppliers!$B$7:$B$106,0)),"")="","–",B501+IFERROR(INDEX(Suppliers!$S$7:$S$106,MATCH(D501,Suppliers!$B$7:$B$106,0)),"")))</f>
        <v/>
      </c>
      <c r="N501" s="56" t="str">
        <f aca="false">IF(D501="","",IF(N(K501)&lt;=0,"Paid",IF(AND(ISNUMBER(M501),Setup!$C$11&gt;M501),"⚠ MSME late",IF(N(L501)&gt;0,"Overdue",IF(N(V501)&lt;=Setup!$C$9,"⚠ MSME due soon",IF(K501&lt;E501,"Part paid","Not due"))))))</f>
        <v/>
      </c>
      <c r="O501" s="50" t="str">
        <f aca="false">IF(AND(D501="",B501="",C501="",E501=""),"",IF(D501="","⚠ Pick supplier",IF(ISNA(MATCH(D501,Suppliers!$B$7:$B$106,0)),"⚠ Supplier not in list",IF(B501="","⚠ Enter bill date",IF(N(E501)&lt;=0,"⚠ Enter amount",IF(AND(C501&lt;&gt;"",COUNTIFS($D$8:$D$507,D501,$C$8:$C$507,C501)&gt;1),"⚠ Bill no. used twice",IF(N(I501)&gt;N(E501),"⚠ Paid more than bill","✔")))))))</f>
        <v/>
      </c>
      <c r="P501" s="9" t="n">
        <f aca="false">IF(D501="",0,MAX(0,N(E501)-N(I501)))</f>
        <v>0</v>
      </c>
      <c r="Q501" s="9" t="n">
        <f aca="false">IF(D501="",0,SUMIFS($P$8:$P$507,$D$8:$D$507,D501,$B$8:$B$507,"&lt;"&amp;B501)+SUMIFS($P$8:P500,$D$8:D500,D501,$B$8:B500,B501))</f>
        <v>0</v>
      </c>
      <c r="R501" s="9" t="n">
        <f aca="false">IF(D501="",0,IFERROR(INDEX(Suppliers!$R$7:$R$106,MATCH(D501,Suppliers!$B$7:$B$106,0)),0))</f>
        <v>0</v>
      </c>
      <c r="S501" s="9" t="str">
        <f aca="false">IF(N(K501)&gt;0,IF(H501="",99999,MIN(H501,IF(ISNUMBER(M501),M501,H501)))+ROW()/100000,"")</f>
        <v/>
      </c>
      <c r="U501" s="9" t="n">
        <f aca="false">IF(N(K501)&gt;0,N(L501),0)</f>
        <v>0</v>
      </c>
      <c r="V501" s="9" t="n">
        <f aca="false">IF(AND(N(K501)&gt;0,ISNUMBER(M501)),M501-Setup!$C$11,99999)</f>
        <v>99999</v>
      </c>
    </row>
    <row r="502" customFormat="false" ht="15" hidden="false" customHeight="false" outlineLevel="0" collapsed="false">
      <c r="A502" s="40" t="str">
        <f aca="false">IF(D502="","",ROW()-7)</f>
        <v/>
      </c>
      <c r="B502" s="79"/>
      <c r="C502" s="75"/>
      <c r="D502" s="76"/>
      <c r="E502" s="80"/>
      <c r="F502" s="79"/>
      <c r="G502" s="76"/>
      <c r="H502" s="54" t="str">
        <f aca="false">IF(OR(D502="",B502=""),"",IF(F502&lt;&gt;"",F502,B502+IFERROR(INDEX(Suppliers!$Q$7:$Q$106,MATCH(D502,Suppliers!$B$7:$B$106,0)),Setup!$C$7)))</f>
        <v/>
      </c>
      <c r="I502" s="46" t="str">
        <f aca="false">IF(OR(D502="",C502=""),IF(D502="","",0),SUMIFS(Payments!$D$8:$D$507,Payments!$C$8:$C$507,D502,Payments!$F$8:$F$507,C502))</f>
        <v/>
      </c>
      <c r="J502" s="46" t="str">
        <f aca="false">IF(D502="","",MIN(P502,MAX(0,R502-Q502)))</f>
        <v/>
      </c>
      <c r="K502" s="47" t="str">
        <f aca="false">IF(D502="","",P502-J502)</f>
        <v/>
      </c>
      <c r="L502" s="55" t="str">
        <f aca="false">IF(OR(D502="",N(K502)&lt;=0,H502=""),"",MAX(0,Setup!$C$11-H502))</f>
        <v/>
      </c>
      <c r="M502" s="54" t="str">
        <f aca="false">IF(OR(D502="",B502=""),"",IF(IFERROR(INDEX(Suppliers!$S$7:$S$106,MATCH(D502,Suppliers!$B$7:$B$106,0)),"")="","–",B502+IFERROR(INDEX(Suppliers!$S$7:$S$106,MATCH(D502,Suppliers!$B$7:$B$106,0)),"")))</f>
        <v/>
      </c>
      <c r="N502" s="56" t="str">
        <f aca="false">IF(D502="","",IF(N(K502)&lt;=0,"Paid",IF(AND(ISNUMBER(M502),Setup!$C$11&gt;M502),"⚠ MSME late",IF(N(L502)&gt;0,"Overdue",IF(N(V502)&lt;=Setup!$C$9,"⚠ MSME due soon",IF(K502&lt;E502,"Part paid","Not due"))))))</f>
        <v/>
      </c>
      <c r="O502" s="50" t="str">
        <f aca="false">IF(AND(D502="",B502="",C502="",E502=""),"",IF(D502="","⚠ Pick supplier",IF(ISNA(MATCH(D502,Suppliers!$B$7:$B$106,0)),"⚠ Supplier not in list",IF(B502="","⚠ Enter bill date",IF(N(E502)&lt;=0,"⚠ Enter amount",IF(AND(C502&lt;&gt;"",COUNTIFS($D$8:$D$507,D502,$C$8:$C$507,C502)&gt;1),"⚠ Bill no. used twice",IF(N(I502)&gt;N(E502),"⚠ Paid more than bill","✔")))))))</f>
        <v/>
      </c>
      <c r="P502" s="9" t="n">
        <f aca="false">IF(D502="",0,MAX(0,N(E502)-N(I502)))</f>
        <v>0</v>
      </c>
      <c r="Q502" s="9" t="n">
        <f aca="false">IF(D502="",0,SUMIFS($P$8:$P$507,$D$8:$D$507,D502,$B$8:$B$507,"&lt;"&amp;B502)+SUMIFS($P$8:P501,$D$8:D501,D502,$B$8:B501,B502))</f>
        <v>0</v>
      </c>
      <c r="R502" s="9" t="n">
        <f aca="false">IF(D502="",0,IFERROR(INDEX(Suppliers!$R$7:$R$106,MATCH(D502,Suppliers!$B$7:$B$106,0)),0))</f>
        <v>0</v>
      </c>
      <c r="S502" s="9" t="str">
        <f aca="false">IF(N(K502)&gt;0,IF(H502="",99999,MIN(H502,IF(ISNUMBER(M502),M502,H502)))+ROW()/100000,"")</f>
        <v/>
      </c>
      <c r="U502" s="9" t="n">
        <f aca="false">IF(N(K502)&gt;0,N(L502),0)</f>
        <v>0</v>
      </c>
      <c r="V502" s="9" t="n">
        <f aca="false">IF(AND(N(K502)&gt;0,ISNUMBER(M502)),M502-Setup!$C$11,99999)</f>
        <v>99999</v>
      </c>
    </row>
    <row r="503" customFormat="false" ht="15" hidden="false" customHeight="false" outlineLevel="0" collapsed="false">
      <c r="A503" s="40" t="str">
        <f aca="false">IF(D503="","",ROW()-7)</f>
        <v/>
      </c>
      <c r="B503" s="79"/>
      <c r="C503" s="75"/>
      <c r="D503" s="76"/>
      <c r="E503" s="80"/>
      <c r="F503" s="79"/>
      <c r="G503" s="76"/>
      <c r="H503" s="54" t="str">
        <f aca="false">IF(OR(D503="",B503=""),"",IF(F503&lt;&gt;"",F503,B503+IFERROR(INDEX(Suppliers!$Q$7:$Q$106,MATCH(D503,Suppliers!$B$7:$B$106,0)),Setup!$C$7)))</f>
        <v/>
      </c>
      <c r="I503" s="46" t="str">
        <f aca="false">IF(OR(D503="",C503=""),IF(D503="","",0),SUMIFS(Payments!$D$8:$D$507,Payments!$C$8:$C$507,D503,Payments!$F$8:$F$507,C503))</f>
        <v/>
      </c>
      <c r="J503" s="46" t="str">
        <f aca="false">IF(D503="","",MIN(P503,MAX(0,R503-Q503)))</f>
        <v/>
      </c>
      <c r="K503" s="47" t="str">
        <f aca="false">IF(D503="","",P503-J503)</f>
        <v/>
      </c>
      <c r="L503" s="55" t="str">
        <f aca="false">IF(OR(D503="",N(K503)&lt;=0,H503=""),"",MAX(0,Setup!$C$11-H503))</f>
        <v/>
      </c>
      <c r="M503" s="54" t="str">
        <f aca="false">IF(OR(D503="",B503=""),"",IF(IFERROR(INDEX(Suppliers!$S$7:$S$106,MATCH(D503,Suppliers!$B$7:$B$106,0)),"")="","–",B503+IFERROR(INDEX(Suppliers!$S$7:$S$106,MATCH(D503,Suppliers!$B$7:$B$106,0)),"")))</f>
        <v/>
      </c>
      <c r="N503" s="56" t="str">
        <f aca="false">IF(D503="","",IF(N(K503)&lt;=0,"Paid",IF(AND(ISNUMBER(M503),Setup!$C$11&gt;M503),"⚠ MSME late",IF(N(L503)&gt;0,"Overdue",IF(N(V503)&lt;=Setup!$C$9,"⚠ MSME due soon",IF(K503&lt;E503,"Part paid","Not due"))))))</f>
        <v/>
      </c>
      <c r="O503" s="50" t="str">
        <f aca="false">IF(AND(D503="",B503="",C503="",E503=""),"",IF(D503="","⚠ Pick supplier",IF(ISNA(MATCH(D503,Suppliers!$B$7:$B$106,0)),"⚠ Supplier not in list",IF(B503="","⚠ Enter bill date",IF(N(E503)&lt;=0,"⚠ Enter amount",IF(AND(C503&lt;&gt;"",COUNTIFS($D$8:$D$507,D503,$C$8:$C$507,C503)&gt;1),"⚠ Bill no. used twice",IF(N(I503)&gt;N(E503),"⚠ Paid more than bill","✔")))))))</f>
        <v/>
      </c>
      <c r="P503" s="9" t="n">
        <f aca="false">IF(D503="",0,MAX(0,N(E503)-N(I503)))</f>
        <v>0</v>
      </c>
      <c r="Q503" s="9" t="n">
        <f aca="false">IF(D503="",0,SUMIFS($P$8:$P$507,$D$8:$D$507,D503,$B$8:$B$507,"&lt;"&amp;B503)+SUMIFS($P$8:P502,$D$8:D502,D503,$B$8:B502,B503))</f>
        <v>0</v>
      </c>
      <c r="R503" s="9" t="n">
        <f aca="false">IF(D503="",0,IFERROR(INDEX(Suppliers!$R$7:$R$106,MATCH(D503,Suppliers!$B$7:$B$106,0)),0))</f>
        <v>0</v>
      </c>
      <c r="S503" s="9" t="str">
        <f aca="false">IF(N(K503)&gt;0,IF(H503="",99999,MIN(H503,IF(ISNUMBER(M503),M503,H503)))+ROW()/100000,"")</f>
        <v/>
      </c>
      <c r="U503" s="9" t="n">
        <f aca="false">IF(N(K503)&gt;0,N(L503),0)</f>
        <v>0</v>
      </c>
      <c r="V503" s="9" t="n">
        <f aca="false">IF(AND(N(K503)&gt;0,ISNUMBER(M503)),M503-Setup!$C$11,99999)</f>
        <v>99999</v>
      </c>
    </row>
    <row r="504" customFormat="false" ht="15" hidden="false" customHeight="false" outlineLevel="0" collapsed="false">
      <c r="A504" s="40" t="str">
        <f aca="false">IF(D504="","",ROW()-7)</f>
        <v/>
      </c>
      <c r="B504" s="79"/>
      <c r="C504" s="75"/>
      <c r="D504" s="76"/>
      <c r="E504" s="80"/>
      <c r="F504" s="79"/>
      <c r="G504" s="76"/>
      <c r="H504" s="54" t="str">
        <f aca="false">IF(OR(D504="",B504=""),"",IF(F504&lt;&gt;"",F504,B504+IFERROR(INDEX(Suppliers!$Q$7:$Q$106,MATCH(D504,Suppliers!$B$7:$B$106,0)),Setup!$C$7)))</f>
        <v/>
      </c>
      <c r="I504" s="46" t="str">
        <f aca="false">IF(OR(D504="",C504=""),IF(D504="","",0),SUMIFS(Payments!$D$8:$D$507,Payments!$C$8:$C$507,D504,Payments!$F$8:$F$507,C504))</f>
        <v/>
      </c>
      <c r="J504" s="46" t="str">
        <f aca="false">IF(D504="","",MIN(P504,MAX(0,R504-Q504)))</f>
        <v/>
      </c>
      <c r="K504" s="47" t="str">
        <f aca="false">IF(D504="","",P504-J504)</f>
        <v/>
      </c>
      <c r="L504" s="55" t="str">
        <f aca="false">IF(OR(D504="",N(K504)&lt;=0,H504=""),"",MAX(0,Setup!$C$11-H504))</f>
        <v/>
      </c>
      <c r="M504" s="54" t="str">
        <f aca="false">IF(OR(D504="",B504=""),"",IF(IFERROR(INDEX(Suppliers!$S$7:$S$106,MATCH(D504,Suppliers!$B$7:$B$106,0)),"")="","–",B504+IFERROR(INDEX(Suppliers!$S$7:$S$106,MATCH(D504,Suppliers!$B$7:$B$106,0)),"")))</f>
        <v/>
      </c>
      <c r="N504" s="56" t="str">
        <f aca="false">IF(D504="","",IF(N(K504)&lt;=0,"Paid",IF(AND(ISNUMBER(M504),Setup!$C$11&gt;M504),"⚠ MSME late",IF(N(L504)&gt;0,"Overdue",IF(N(V504)&lt;=Setup!$C$9,"⚠ MSME due soon",IF(K504&lt;E504,"Part paid","Not due"))))))</f>
        <v/>
      </c>
      <c r="O504" s="50" t="str">
        <f aca="false">IF(AND(D504="",B504="",C504="",E504=""),"",IF(D504="","⚠ Pick supplier",IF(ISNA(MATCH(D504,Suppliers!$B$7:$B$106,0)),"⚠ Supplier not in list",IF(B504="","⚠ Enter bill date",IF(N(E504)&lt;=0,"⚠ Enter amount",IF(AND(C504&lt;&gt;"",COUNTIFS($D$8:$D$507,D504,$C$8:$C$507,C504)&gt;1),"⚠ Bill no. used twice",IF(N(I504)&gt;N(E504),"⚠ Paid more than bill","✔")))))))</f>
        <v/>
      </c>
      <c r="P504" s="9" t="n">
        <f aca="false">IF(D504="",0,MAX(0,N(E504)-N(I504)))</f>
        <v>0</v>
      </c>
      <c r="Q504" s="9" t="n">
        <f aca="false">IF(D504="",0,SUMIFS($P$8:$P$507,$D$8:$D$507,D504,$B$8:$B$507,"&lt;"&amp;B504)+SUMIFS($P$8:P503,$D$8:D503,D504,$B$8:B503,B504))</f>
        <v>0</v>
      </c>
      <c r="R504" s="9" t="n">
        <f aca="false">IF(D504="",0,IFERROR(INDEX(Suppliers!$R$7:$R$106,MATCH(D504,Suppliers!$B$7:$B$106,0)),0))</f>
        <v>0</v>
      </c>
      <c r="S504" s="9" t="str">
        <f aca="false">IF(N(K504)&gt;0,IF(H504="",99999,MIN(H504,IF(ISNUMBER(M504),M504,H504)))+ROW()/100000,"")</f>
        <v/>
      </c>
      <c r="U504" s="9" t="n">
        <f aca="false">IF(N(K504)&gt;0,N(L504),0)</f>
        <v>0</v>
      </c>
      <c r="V504" s="9" t="n">
        <f aca="false">IF(AND(N(K504)&gt;0,ISNUMBER(M504)),M504-Setup!$C$11,99999)</f>
        <v>99999</v>
      </c>
    </row>
    <row r="505" customFormat="false" ht="15" hidden="false" customHeight="false" outlineLevel="0" collapsed="false">
      <c r="A505" s="40" t="str">
        <f aca="false">IF(D505="","",ROW()-7)</f>
        <v/>
      </c>
      <c r="B505" s="79"/>
      <c r="C505" s="75"/>
      <c r="D505" s="76"/>
      <c r="E505" s="80"/>
      <c r="F505" s="79"/>
      <c r="G505" s="76"/>
      <c r="H505" s="54" t="str">
        <f aca="false">IF(OR(D505="",B505=""),"",IF(F505&lt;&gt;"",F505,B505+IFERROR(INDEX(Suppliers!$Q$7:$Q$106,MATCH(D505,Suppliers!$B$7:$B$106,0)),Setup!$C$7)))</f>
        <v/>
      </c>
      <c r="I505" s="46" t="str">
        <f aca="false">IF(OR(D505="",C505=""),IF(D505="","",0),SUMIFS(Payments!$D$8:$D$507,Payments!$C$8:$C$507,D505,Payments!$F$8:$F$507,C505))</f>
        <v/>
      </c>
      <c r="J505" s="46" t="str">
        <f aca="false">IF(D505="","",MIN(P505,MAX(0,R505-Q505)))</f>
        <v/>
      </c>
      <c r="K505" s="47" t="str">
        <f aca="false">IF(D505="","",P505-J505)</f>
        <v/>
      </c>
      <c r="L505" s="55" t="str">
        <f aca="false">IF(OR(D505="",N(K505)&lt;=0,H505=""),"",MAX(0,Setup!$C$11-H505))</f>
        <v/>
      </c>
      <c r="M505" s="54" t="str">
        <f aca="false">IF(OR(D505="",B505=""),"",IF(IFERROR(INDEX(Suppliers!$S$7:$S$106,MATCH(D505,Suppliers!$B$7:$B$106,0)),"")="","–",B505+IFERROR(INDEX(Suppliers!$S$7:$S$106,MATCH(D505,Suppliers!$B$7:$B$106,0)),"")))</f>
        <v/>
      </c>
      <c r="N505" s="56" t="str">
        <f aca="false">IF(D505="","",IF(N(K505)&lt;=0,"Paid",IF(AND(ISNUMBER(M505),Setup!$C$11&gt;M505),"⚠ MSME late",IF(N(L505)&gt;0,"Overdue",IF(N(V505)&lt;=Setup!$C$9,"⚠ MSME due soon",IF(K505&lt;E505,"Part paid","Not due"))))))</f>
        <v/>
      </c>
      <c r="O505" s="50" t="str">
        <f aca="false">IF(AND(D505="",B505="",C505="",E505=""),"",IF(D505="","⚠ Pick supplier",IF(ISNA(MATCH(D505,Suppliers!$B$7:$B$106,0)),"⚠ Supplier not in list",IF(B505="","⚠ Enter bill date",IF(N(E505)&lt;=0,"⚠ Enter amount",IF(AND(C505&lt;&gt;"",COUNTIFS($D$8:$D$507,D505,$C$8:$C$507,C505)&gt;1),"⚠ Bill no. used twice",IF(N(I505)&gt;N(E505),"⚠ Paid more than bill","✔")))))))</f>
        <v/>
      </c>
      <c r="P505" s="9" t="n">
        <f aca="false">IF(D505="",0,MAX(0,N(E505)-N(I505)))</f>
        <v>0</v>
      </c>
      <c r="Q505" s="9" t="n">
        <f aca="false">IF(D505="",0,SUMIFS($P$8:$P$507,$D$8:$D$507,D505,$B$8:$B$507,"&lt;"&amp;B505)+SUMIFS($P$8:P504,$D$8:D504,D505,$B$8:B504,B505))</f>
        <v>0</v>
      </c>
      <c r="R505" s="9" t="n">
        <f aca="false">IF(D505="",0,IFERROR(INDEX(Suppliers!$R$7:$R$106,MATCH(D505,Suppliers!$B$7:$B$106,0)),0))</f>
        <v>0</v>
      </c>
      <c r="S505" s="9" t="str">
        <f aca="false">IF(N(K505)&gt;0,IF(H505="",99999,MIN(H505,IF(ISNUMBER(M505),M505,H505)))+ROW()/100000,"")</f>
        <v/>
      </c>
      <c r="U505" s="9" t="n">
        <f aca="false">IF(N(K505)&gt;0,N(L505),0)</f>
        <v>0</v>
      </c>
      <c r="V505" s="9" t="n">
        <f aca="false">IF(AND(N(K505)&gt;0,ISNUMBER(M505)),M505-Setup!$C$11,99999)</f>
        <v>99999</v>
      </c>
    </row>
    <row r="506" customFormat="false" ht="15" hidden="false" customHeight="false" outlineLevel="0" collapsed="false">
      <c r="A506" s="40" t="str">
        <f aca="false">IF(D506="","",ROW()-7)</f>
        <v/>
      </c>
      <c r="B506" s="79"/>
      <c r="C506" s="75"/>
      <c r="D506" s="76"/>
      <c r="E506" s="80"/>
      <c r="F506" s="79"/>
      <c r="G506" s="76"/>
      <c r="H506" s="54" t="str">
        <f aca="false">IF(OR(D506="",B506=""),"",IF(F506&lt;&gt;"",F506,B506+IFERROR(INDEX(Suppliers!$Q$7:$Q$106,MATCH(D506,Suppliers!$B$7:$B$106,0)),Setup!$C$7)))</f>
        <v/>
      </c>
      <c r="I506" s="46" t="str">
        <f aca="false">IF(OR(D506="",C506=""),IF(D506="","",0),SUMIFS(Payments!$D$8:$D$507,Payments!$C$8:$C$507,D506,Payments!$F$8:$F$507,C506))</f>
        <v/>
      </c>
      <c r="J506" s="46" t="str">
        <f aca="false">IF(D506="","",MIN(P506,MAX(0,R506-Q506)))</f>
        <v/>
      </c>
      <c r="K506" s="47" t="str">
        <f aca="false">IF(D506="","",P506-J506)</f>
        <v/>
      </c>
      <c r="L506" s="55" t="str">
        <f aca="false">IF(OR(D506="",N(K506)&lt;=0,H506=""),"",MAX(0,Setup!$C$11-H506))</f>
        <v/>
      </c>
      <c r="M506" s="54" t="str">
        <f aca="false">IF(OR(D506="",B506=""),"",IF(IFERROR(INDEX(Suppliers!$S$7:$S$106,MATCH(D506,Suppliers!$B$7:$B$106,0)),"")="","–",B506+IFERROR(INDEX(Suppliers!$S$7:$S$106,MATCH(D506,Suppliers!$B$7:$B$106,0)),"")))</f>
        <v/>
      </c>
      <c r="N506" s="56" t="str">
        <f aca="false">IF(D506="","",IF(N(K506)&lt;=0,"Paid",IF(AND(ISNUMBER(M506),Setup!$C$11&gt;M506),"⚠ MSME late",IF(N(L506)&gt;0,"Overdue",IF(N(V506)&lt;=Setup!$C$9,"⚠ MSME due soon",IF(K506&lt;E506,"Part paid","Not due"))))))</f>
        <v/>
      </c>
      <c r="O506" s="50" t="str">
        <f aca="false">IF(AND(D506="",B506="",C506="",E506=""),"",IF(D506="","⚠ Pick supplier",IF(ISNA(MATCH(D506,Suppliers!$B$7:$B$106,0)),"⚠ Supplier not in list",IF(B506="","⚠ Enter bill date",IF(N(E506)&lt;=0,"⚠ Enter amount",IF(AND(C506&lt;&gt;"",COUNTIFS($D$8:$D$507,D506,$C$8:$C$507,C506)&gt;1),"⚠ Bill no. used twice",IF(N(I506)&gt;N(E506),"⚠ Paid more than bill","✔")))))))</f>
        <v/>
      </c>
      <c r="P506" s="9" t="n">
        <f aca="false">IF(D506="",0,MAX(0,N(E506)-N(I506)))</f>
        <v>0</v>
      </c>
      <c r="Q506" s="9" t="n">
        <f aca="false">IF(D506="",0,SUMIFS($P$8:$P$507,$D$8:$D$507,D506,$B$8:$B$507,"&lt;"&amp;B506)+SUMIFS($P$8:P505,$D$8:D505,D506,$B$8:B505,B506))</f>
        <v>0</v>
      </c>
      <c r="R506" s="9" t="n">
        <f aca="false">IF(D506="",0,IFERROR(INDEX(Suppliers!$R$7:$R$106,MATCH(D506,Suppliers!$B$7:$B$106,0)),0))</f>
        <v>0</v>
      </c>
      <c r="S506" s="9" t="str">
        <f aca="false">IF(N(K506)&gt;0,IF(H506="",99999,MIN(H506,IF(ISNUMBER(M506),M506,H506)))+ROW()/100000,"")</f>
        <v/>
      </c>
      <c r="U506" s="9" t="n">
        <f aca="false">IF(N(K506)&gt;0,N(L506),0)</f>
        <v>0</v>
      </c>
      <c r="V506" s="9" t="n">
        <f aca="false">IF(AND(N(K506)&gt;0,ISNUMBER(M506)),M506-Setup!$C$11,99999)</f>
        <v>99999</v>
      </c>
    </row>
    <row r="507" customFormat="false" ht="15" hidden="false" customHeight="false" outlineLevel="0" collapsed="false">
      <c r="A507" s="40" t="str">
        <f aca="false">IF(D507="","",ROW()-7)</f>
        <v/>
      </c>
      <c r="B507" s="79"/>
      <c r="C507" s="75"/>
      <c r="D507" s="76"/>
      <c r="E507" s="80"/>
      <c r="F507" s="79"/>
      <c r="G507" s="76"/>
      <c r="H507" s="54" t="str">
        <f aca="false">IF(OR(D507="",B507=""),"",IF(F507&lt;&gt;"",F507,B507+IFERROR(INDEX(Suppliers!$Q$7:$Q$106,MATCH(D507,Suppliers!$B$7:$B$106,0)),Setup!$C$7)))</f>
        <v/>
      </c>
      <c r="I507" s="46" t="str">
        <f aca="false">IF(OR(D507="",C507=""),IF(D507="","",0),SUMIFS(Payments!$D$8:$D$507,Payments!$C$8:$C$507,D507,Payments!$F$8:$F$507,C507))</f>
        <v/>
      </c>
      <c r="J507" s="46" t="str">
        <f aca="false">IF(D507="","",MIN(P507,MAX(0,R507-Q507)))</f>
        <v/>
      </c>
      <c r="K507" s="47" t="str">
        <f aca="false">IF(D507="","",P507-J507)</f>
        <v/>
      </c>
      <c r="L507" s="55" t="str">
        <f aca="false">IF(OR(D507="",N(K507)&lt;=0,H507=""),"",MAX(0,Setup!$C$11-H507))</f>
        <v/>
      </c>
      <c r="M507" s="54" t="str">
        <f aca="false">IF(OR(D507="",B507=""),"",IF(IFERROR(INDEX(Suppliers!$S$7:$S$106,MATCH(D507,Suppliers!$B$7:$B$106,0)),"")="","–",B507+IFERROR(INDEX(Suppliers!$S$7:$S$106,MATCH(D507,Suppliers!$B$7:$B$106,0)),"")))</f>
        <v/>
      </c>
      <c r="N507" s="56" t="str">
        <f aca="false">IF(D507="","",IF(N(K507)&lt;=0,"Paid",IF(AND(ISNUMBER(M507),Setup!$C$11&gt;M507),"⚠ MSME late",IF(N(L507)&gt;0,"Overdue",IF(N(V507)&lt;=Setup!$C$9,"⚠ MSME due soon",IF(K507&lt;E507,"Part paid","Not due"))))))</f>
        <v/>
      </c>
      <c r="O507" s="50" t="str">
        <f aca="false">IF(AND(D507="",B507="",C507="",E507=""),"",IF(D507="","⚠ Pick supplier",IF(ISNA(MATCH(D507,Suppliers!$B$7:$B$106,0)),"⚠ Supplier not in list",IF(B507="","⚠ Enter bill date",IF(N(E507)&lt;=0,"⚠ Enter amount",IF(AND(C507&lt;&gt;"",COUNTIFS($D$8:$D$507,D507,$C$8:$C$507,C507)&gt;1),"⚠ Bill no. used twice",IF(N(I507)&gt;N(E507),"⚠ Paid more than bill","✔")))))))</f>
        <v/>
      </c>
      <c r="P507" s="9" t="n">
        <f aca="false">IF(D507="",0,MAX(0,N(E507)-N(I507)))</f>
        <v>0</v>
      </c>
      <c r="Q507" s="9" t="n">
        <f aca="false">IF(D507="",0,SUMIFS($P$8:$P$507,$D$8:$D$507,D507,$B$8:$B$507,"&lt;"&amp;B507)+SUMIFS($P$8:P506,$D$8:D506,D507,$B$8:B506,B507))</f>
        <v>0</v>
      </c>
      <c r="R507" s="9" t="n">
        <f aca="false">IF(D507="",0,IFERROR(INDEX(Suppliers!$R$7:$R$106,MATCH(D507,Suppliers!$B$7:$B$106,0)),0))</f>
        <v>0</v>
      </c>
      <c r="S507" s="9" t="str">
        <f aca="false">IF(N(K507)&gt;0,IF(H507="",99999,MIN(H507,IF(ISNUMBER(M507),M507,H507)))+ROW()/100000,"")</f>
        <v/>
      </c>
      <c r="U507" s="9" t="n">
        <f aca="false">IF(N(K507)&gt;0,N(L507),0)</f>
        <v>0</v>
      </c>
      <c r="V507" s="9" t="n">
        <f aca="false">IF(AND(N(K507)&gt;0,ISNUMBER(M507)),M507-Setup!$C$11,99999)</f>
        <v>99999</v>
      </c>
    </row>
  </sheetData>
  <sheetProtection sheet="1" objects="1" scenarios="1" formatColumns="0" formatRows="0" algorithmName="SHA-512" hashValue="lPWvEPFpUjuPmSK0JT6F4BAWYusxrOG16QWPQfO0ty4TQUFc84rNzDwi+I98dL3TkW3Q69CUv5SmYq4oqOz9jg==" saltValue="VAIxQz/f0HonBNB5fMa+Kg==" spinCount="100000"/>
  <mergeCells count="2">
    <mergeCell ref="A2:O2"/>
    <mergeCell ref="A3:O3"/>
  </mergeCells>
  <conditionalFormatting sqref="O8:O507">
    <cfRule type="expression" priority="2" aboveAverage="0" equalAverage="0" bottom="0" percent="0" rank="0" text="" dxfId="0">
      <formula>LEFT($O8,1)="⚠"</formula>
    </cfRule>
    <cfRule type="expression" priority="3" aboveAverage="0" equalAverage="0" bottom="0" percent="0" rank="0" text="" dxfId="2">
      <formula>$O8="✔"</formula>
    </cfRule>
  </conditionalFormatting>
  <conditionalFormatting sqref="N8:N507">
    <cfRule type="expression" priority="4" aboveAverage="0" equalAverage="0" bottom="0" percent="0" rank="0" text="" dxfId="3">
      <formula>LEFT($N8,1)="⚠"</formula>
    </cfRule>
    <cfRule type="expression" priority="5" aboveAverage="0" equalAverage="0" bottom="0" percent="0" rank="0" text="" dxfId="4">
      <formula>$N8="Overdue"</formula>
    </cfRule>
    <cfRule type="expression" priority="6" aboveAverage="0" equalAverage="0" bottom="0" percent="0" rank="0" text="" dxfId="2">
      <formula>$N8="Paid"</formula>
    </cfRule>
  </conditionalFormatting>
  <dataValidations count="1">
    <dataValidation allowBlank="true" errorStyle="stop" operator="between" showDropDown="false" showErrorMessage="false" showInputMessage="false" sqref="D8:D507" type="list">
      <formula1>Suppliers!$B$7:$B$106</formula1>
      <formula2>0</formula2>
    </dataValidation>
  </dataValidations>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BF8F00"/>
    <pageSetUpPr fitToPage="true"/>
  </sheetPr>
  <dimension ref="A1:J5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7" topLeftCell="D8" activePane="bottomRight" state="frozen"/>
      <selection pane="topLeft" activeCell="A1" activeCellId="0" sqref="A1"/>
      <selection pane="topRight" activeCell="D1" activeCellId="0" sqref="D1"/>
      <selection pane="bottomLeft" activeCell="A8" activeCellId="0" sqref="A8"/>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
    <col collapsed="false" customWidth="true" hidden="false" outlineLevel="0" max="3" min="3" style="0" width="28"/>
    <col collapsed="false" customWidth="true" hidden="false" outlineLevel="0" max="4" min="4" style="0" width="13"/>
    <col collapsed="false" customWidth="true" hidden="false" outlineLevel="0" max="5" min="5" style="0" width="20"/>
    <col collapsed="false" customWidth="true" hidden="false" outlineLevel="0" max="6" min="6" style="0" width="14"/>
    <col collapsed="false" customWidth="true" hidden="false" outlineLevel="0" max="7" min="7" style="0" width="16"/>
    <col collapsed="false" customWidth="true" hidden="false" outlineLevel="0" max="8" min="8" style="0" width="22"/>
    <col collapsed="false" customWidth="true" hidden="false" outlineLevel="0" max="9" min="9" style="0" width="30"/>
    <col collapsed="false" customWidth="true" hidden="true" outlineLevel="0" max="10" min="10" style="0" width="13"/>
  </cols>
  <sheetData>
    <row r="1" customFormat="false" ht="15" hidden="false" customHeight="false" outlineLevel="0" collapsed="false">
      <c r="A1" s="20" t="s">
        <v>27</v>
      </c>
    </row>
    <row r="2" customFormat="false" ht="30" hidden="false" customHeight="true" outlineLevel="0" collapsed="false">
      <c r="A2" s="37" t="s">
        <v>135</v>
      </c>
      <c r="B2" s="37"/>
      <c r="C2" s="37"/>
      <c r="D2" s="37"/>
      <c r="E2" s="37"/>
      <c r="F2" s="37"/>
      <c r="G2" s="37"/>
      <c r="H2" s="37"/>
      <c r="I2" s="37"/>
    </row>
    <row r="3" customFormat="false" ht="30" hidden="false" customHeight="true" outlineLevel="0" collapsed="false">
      <c r="A3" s="36" t="s">
        <v>136</v>
      </c>
      <c r="B3" s="36"/>
      <c r="C3" s="36"/>
      <c r="D3" s="36"/>
      <c r="E3" s="36"/>
      <c r="F3" s="36"/>
      <c r="G3" s="36"/>
      <c r="H3" s="36"/>
      <c r="I3" s="36"/>
    </row>
    <row r="7" customFormat="false" ht="39.75" hidden="false" customHeight="true" outlineLevel="0" collapsed="false">
      <c r="A7" s="38" t="s">
        <v>64</v>
      </c>
      <c r="B7" s="39" t="s">
        <v>137</v>
      </c>
      <c r="C7" s="39" t="s">
        <v>108</v>
      </c>
      <c r="D7" s="39" t="s">
        <v>138</v>
      </c>
      <c r="E7" s="39" t="s">
        <v>139</v>
      </c>
      <c r="F7" s="39" t="s">
        <v>140</v>
      </c>
      <c r="G7" s="39" t="s">
        <v>141</v>
      </c>
      <c r="H7" s="39" t="s">
        <v>111</v>
      </c>
      <c r="I7" s="38" t="s">
        <v>76</v>
      </c>
    </row>
    <row r="8" customFormat="false" ht="15" hidden="false" customHeight="false" outlineLevel="0" collapsed="false">
      <c r="A8" s="40" t="n">
        <f aca="false">IF(C8="","",ROW()-7)</f>
        <v>1</v>
      </c>
      <c r="B8" s="79" t="n">
        <v>46244</v>
      </c>
      <c r="C8" s="76" t="s">
        <v>77</v>
      </c>
      <c r="D8" s="80" t="n">
        <v>29701</v>
      </c>
      <c r="E8" s="78" t="s">
        <v>142</v>
      </c>
      <c r="F8" s="75" t="s">
        <v>119</v>
      </c>
      <c r="G8" s="75" t="s">
        <v>143</v>
      </c>
      <c r="H8" s="76"/>
      <c r="I8" s="50" t="str">
        <f aca="false">IF(AND(C8="",B8="",D8=""),"",IF(C8="","⚠ Pick supplier",IF(ISNA(MATCH(C8,Suppliers!$B$7:$B$106,0)),"⚠ Supplier not in list",IF(B8="","⚠ Enter date",IF(N(D8)&lt;=0,"⚠ Enter amount",IF(AND(F8&lt;&gt;"",NOT(COUNTIFS(Bills!$D$8:$D$507,C8,Bills!$C$8:$C$507,F8)&gt;0)),"⚠ Bill not found – treated as on account",IF(F8="","✔ On account","✔")))))))</f>
        <v>✔</v>
      </c>
      <c r="J8" s="9" t="n">
        <f aca="false">IF(C8="",0,IF(F8="",N(D8),IF(COUNTIFS(Bills!$D$8:$D$507,C8,Bills!$C$8:$C$507,F8)&gt;0,0,N(D8))))</f>
        <v>0</v>
      </c>
    </row>
    <row r="9" customFormat="false" ht="15" hidden="false" customHeight="false" outlineLevel="0" collapsed="false">
      <c r="A9" s="40" t="n">
        <f aca="false">IF(C9="","",ROW()-7)</f>
        <v>2</v>
      </c>
      <c r="B9" s="79" t="n">
        <v>46254</v>
      </c>
      <c r="C9" s="76" t="s">
        <v>93</v>
      </c>
      <c r="D9" s="80" t="n">
        <v>20000</v>
      </c>
      <c r="E9" s="78" t="s">
        <v>144</v>
      </c>
      <c r="F9" s="75"/>
      <c r="G9" s="75" t="s">
        <v>145</v>
      </c>
      <c r="H9" s="76"/>
      <c r="I9" s="50" t="str">
        <f aca="false">IF(AND(C9="",B9="",D9=""),"",IF(C9="","⚠ Pick supplier",IF(ISNA(MATCH(C9,Suppliers!$B$7:$B$106,0)),"⚠ Supplier not in list",IF(B9="","⚠ Enter date",IF(N(D9)&lt;=0,"⚠ Enter amount",IF(AND(F9&lt;&gt;"",NOT(COUNTIFS(Bills!$D$8:$D$507,C9,Bills!$C$8:$C$507,F9)&gt;0)),"⚠ Bill not found – treated as on account",IF(F9="","✔ On account","✔")))))))</f>
        <v>✔ On account</v>
      </c>
      <c r="J9" s="9" t="n">
        <f aca="false">IF(C9="",0,IF(F9="",N(D9),IF(COUNTIFS(Bills!$D$8:$D$507,C9,Bills!$C$8:$C$507,F9)&gt;0,0,N(D9))))</f>
        <v>20000</v>
      </c>
    </row>
    <row r="10" customFormat="false" ht="15" hidden="false" customHeight="false" outlineLevel="0" collapsed="false">
      <c r="A10" s="40" t="n">
        <f aca="false">IF(C10="","",ROW()-7)</f>
        <v>3</v>
      </c>
      <c r="B10" s="79" t="n">
        <v>46280</v>
      </c>
      <c r="C10" s="76" t="s">
        <v>82</v>
      </c>
      <c r="D10" s="80" t="n">
        <v>44516</v>
      </c>
      <c r="E10" s="78" t="s">
        <v>142</v>
      </c>
      <c r="F10" s="75" t="s">
        <v>120</v>
      </c>
      <c r="G10" s="75" t="s">
        <v>146</v>
      </c>
      <c r="H10" s="76"/>
      <c r="I10" s="50" t="str">
        <f aca="false">IF(AND(C10="",B10="",D10=""),"",IF(C10="","⚠ Pick supplier",IF(ISNA(MATCH(C10,Suppliers!$B$7:$B$106,0)),"⚠ Supplier not in list",IF(B10="","⚠ Enter date",IF(N(D10)&lt;=0,"⚠ Enter amount",IF(AND(F10&lt;&gt;"",NOT(COUNTIFS(Bills!$D$8:$D$507,C10,Bills!$C$8:$C$507,F10)&gt;0)),"⚠ Bill not found – treated as on account",IF(F10="","✔ On account","✔")))))))</f>
        <v>✔</v>
      </c>
      <c r="J10" s="9" t="n">
        <f aca="false">IF(C10="",0,IF(F10="",N(D10),IF(COUNTIFS(Bills!$D$8:$D$507,C10,Bills!$C$8:$C$507,F10)&gt;0,0,N(D10))))</f>
        <v>0</v>
      </c>
    </row>
    <row r="11" customFormat="false" ht="15" hidden="false" customHeight="false" outlineLevel="0" collapsed="false">
      <c r="A11" s="40" t="n">
        <f aca="false">IF(C11="","",ROW()-7)</f>
        <v>4</v>
      </c>
      <c r="B11" s="79" t="n">
        <v>46285</v>
      </c>
      <c r="C11" s="76" t="s">
        <v>97</v>
      </c>
      <c r="D11" s="80" t="n">
        <v>6372</v>
      </c>
      <c r="E11" s="78" t="s">
        <v>147</v>
      </c>
      <c r="F11" s="75" t="s">
        <v>123</v>
      </c>
      <c r="G11" s="75" t="s">
        <v>148</v>
      </c>
      <c r="H11" s="76"/>
      <c r="I11" s="50" t="str">
        <f aca="false">IF(AND(C11="",B11="",D11=""),"",IF(C11="","⚠ Pick supplier",IF(ISNA(MATCH(C11,Suppliers!$B$7:$B$106,0)),"⚠ Supplier not in list",IF(B11="","⚠ Enter date",IF(N(D11)&lt;=0,"⚠ Enter amount",IF(AND(F11&lt;&gt;"",NOT(COUNTIFS(Bills!$D$8:$D$507,C11,Bills!$C$8:$C$507,F11)&gt;0)),"⚠ Bill not found – treated as on account",IF(F11="","✔ On account","✔")))))))</f>
        <v>✔</v>
      </c>
      <c r="J11" s="9" t="n">
        <f aca="false">IF(C11="",0,IF(F11="",N(D11),IF(COUNTIFS(Bills!$D$8:$D$507,C11,Bills!$C$8:$C$507,F11)&gt;0,0,N(D11))))</f>
        <v>0</v>
      </c>
    </row>
    <row r="12" customFormat="false" ht="15" hidden="false" customHeight="false" outlineLevel="0" collapsed="false">
      <c r="A12" s="40" t="n">
        <f aca="false">IF(C12="","",ROW()-7)</f>
        <v>5</v>
      </c>
      <c r="B12" s="79" t="n">
        <v>46290</v>
      </c>
      <c r="C12" s="76" t="s">
        <v>87</v>
      </c>
      <c r="D12" s="80" t="n">
        <v>10000</v>
      </c>
      <c r="E12" s="78" t="s">
        <v>147</v>
      </c>
      <c r="F12" s="75"/>
      <c r="G12" s="75" t="s">
        <v>149</v>
      </c>
      <c r="H12" s="76"/>
      <c r="I12" s="50" t="str">
        <f aca="false">IF(AND(C12="",B12="",D12=""),"",IF(C12="","⚠ Pick supplier",IF(ISNA(MATCH(C12,Suppliers!$B$7:$B$106,0)),"⚠ Supplier not in list",IF(B12="","⚠ Enter date",IF(N(D12)&lt;=0,"⚠ Enter amount",IF(AND(F12&lt;&gt;"",NOT(COUNTIFS(Bills!$D$8:$D$507,C12,Bills!$C$8:$C$507,F12)&gt;0)),"⚠ Bill not found – treated as on account",IF(F12="","✔ On account","✔")))))))</f>
        <v>✔ On account</v>
      </c>
      <c r="J12" s="9" t="n">
        <f aca="false">IF(C12="",0,IF(F12="",N(D12),IF(COUNTIFS(Bills!$D$8:$D$507,C12,Bills!$C$8:$C$507,F12)&gt;0,0,N(D12))))</f>
        <v>10000</v>
      </c>
    </row>
    <row r="13" customFormat="false" ht="15" hidden="false" customHeight="false" outlineLevel="0" collapsed="false">
      <c r="A13" s="40" t="n">
        <f aca="false">IF(C13="","",ROW()-7)</f>
        <v>6</v>
      </c>
      <c r="B13" s="79" t="n">
        <v>46300</v>
      </c>
      <c r="C13" s="76" t="s">
        <v>101</v>
      </c>
      <c r="D13" s="80" t="n">
        <v>35400</v>
      </c>
      <c r="E13" s="78" t="s">
        <v>142</v>
      </c>
      <c r="F13" s="75" t="s">
        <v>124</v>
      </c>
      <c r="G13" s="75" t="s">
        <v>150</v>
      </c>
      <c r="H13" s="76"/>
      <c r="I13" s="50" t="str">
        <f aca="false">IF(AND(C13="",B13="",D13=""),"",IF(C13="","⚠ Pick supplier",IF(ISNA(MATCH(C13,Suppliers!$B$7:$B$106,0)),"⚠ Supplier not in list",IF(B13="","⚠ Enter date",IF(N(D13)&lt;=0,"⚠ Enter amount",IF(AND(F13&lt;&gt;"",NOT(COUNTIFS(Bills!$D$8:$D$507,C13,Bills!$C$8:$C$507,F13)&gt;0)),"⚠ Bill not found – treated as on account",IF(F13="","✔ On account","✔")))))))</f>
        <v>✔</v>
      </c>
      <c r="J13" s="9" t="n">
        <f aca="false">IF(C13="",0,IF(F13="",N(D13),IF(COUNTIFS(Bills!$D$8:$D$507,C13,Bills!$C$8:$C$507,F13)&gt;0,0,N(D13))))</f>
        <v>0</v>
      </c>
    </row>
    <row r="14" customFormat="false" ht="15" hidden="false" customHeight="false" outlineLevel="0" collapsed="false">
      <c r="A14" s="40" t="n">
        <f aca="false">IF(C14="","",ROW()-7)</f>
        <v>7</v>
      </c>
      <c r="B14" s="79" t="n">
        <v>46302</v>
      </c>
      <c r="C14" s="76" t="s">
        <v>77</v>
      </c>
      <c r="D14" s="80" t="n">
        <v>500</v>
      </c>
      <c r="E14" s="78" t="s">
        <v>151</v>
      </c>
      <c r="F14" s="75" t="s">
        <v>122</v>
      </c>
      <c r="G14" s="75" t="s">
        <v>152</v>
      </c>
      <c r="H14" s="76"/>
      <c r="I14" s="50" t="str">
        <f aca="false">IF(AND(C14="",B14="",D14=""),"",IF(C14="","⚠ Pick supplier",IF(ISNA(MATCH(C14,Suppliers!$B$7:$B$106,0)),"⚠ Supplier not in list",IF(B14="","⚠ Enter date",IF(N(D14)&lt;=0,"⚠ Enter amount",IF(AND(F14&lt;&gt;"",NOT(COUNTIFS(Bills!$D$8:$D$507,C14,Bills!$C$8:$C$507,F14)&gt;0)),"⚠ Bill not found – treated as on account",IF(F14="","✔ On account","✔")))))))</f>
        <v>✔</v>
      </c>
      <c r="J14" s="9" t="n">
        <f aca="false">IF(C14="",0,IF(F14="",N(D14),IF(COUNTIFS(Bills!$D$8:$D$507,C14,Bills!$C$8:$C$507,F14)&gt;0,0,N(D14))))</f>
        <v>0</v>
      </c>
    </row>
    <row r="15" customFormat="false" ht="15" hidden="false" customHeight="false" outlineLevel="0" collapsed="false">
      <c r="A15" s="40" t="n">
        <f aca="false">IF(C15="","",ROW()-7)</f>
        <v>8</v>
      </c>
      <c r="B15" s="79" t="n">
        <v>46304</v>
      </c>
      <c r="C15" s="76" t="s">
        <v>93</v>
      </c>
      <c r="D15" s="80" t="n">
        <v>22480</v>
      </c>
      <c r="E15" s="78" t="s">
        <v>142</v>
      </c>
      <c r="F15" s="75"/>
      <c r="G15" s="75" t="s">
        <v>153</v>
      </c>
      <c r="H15" s="76"/>
      <c r="I15" s="50" t="str">
        <f aca="false">IF(AND(C15="",B15="",D15=""),"",IF(C15="","⚠ Pick supplier",IF(ISNA(MATCH(C15,Suppliers!$B$7:$B$106,0)),"⚠ Supplier not in list",IF(B15="","⚠ Enter date",IF(N(D15)&lt;=0,"⚠ Enter amount",IF(AND(F15&lt;&gt;"",NOT(COUNTIFS(Bills!$D$8:$D$507,C15,Bills!$C$8:$C$507,F15)&gt;0)),"⚠ Bill not found – treated as on account",IF(F15="","✔ On account","✔")))))))</f>
        <v>✔ On account</v>
      </c>
      <c r="J15" s="9" t="n">
        <f aca="false">IF(C15="",0,IF(F15="",N(D15),IF(COUNTIFS(Bills!$D$8:$D$507,C15,Bills!$C$8:$C$507,F15)&gt;0,0,N(D15))))</f>
        <v>22480</v>
      </c>
    </row>
    <row r="16" customFormat="false" ht="15" hidden="false" customHeight="false" outlineLevel="0" collapsed="false">
      <c r="A16" s="40" t="str">
        <f aca="false">IF(C16="","",ROW()-7)</f>
        <v/>
      </c>
      <c r="B16" s="79"/>
      <c r="C16" s="76"/>
      <c r="D16" s="80"/>
      <c r="E16" s="78"/>
      <c r="F16" s="75"/>
      <c r="G16" s="75"/>
      <c r="H16" s="76"/>
      <c r="I16" s="50" t="str">
        <f aca="false">IF(AND(C16="",B16="",D16=""),"",IF(C16="","⚠ Pick supplier",IF(ISNA(MATCH(C16,Suppliers!$B$7:$B$106,0)),"⚠ Supplier not in list",IF(B16="","⚠ Enter date",IF(N(D16)&lt;=0,"⚠ Enter amount",IF(AND(F16&lt;&gt;"",NOT(COUNTIFS(Bills!$D$8:$D$507,C16,Bills!$C$8:$C$507,F16)&gt;0)),"⚠ Bill not found – treated as on account",IF(F16="","✔ On account","✔")))))))</f>
        <v/>
      </c>
      <c r="J16" s="9" t="n">
        <f aca="false">IF(C16="",0,IF(F16="",N(D16),IF(COUNTIFS(Bills!$D$8:$D$507,C16,Bills!$C$8:$C$507,F16)&gt;0,0,N(D16))))</f>
        <v>0</v>
      </c>
    </row>
    <row r="17" customFormat="false" ht="15" hidden="false" customHeight="false" outlineLevel="0" collapsed="false">
      <c r="A17" s="40" t="str">
        <f aca="false">IF(C17="","",ROW()-7)</f>
        <v/>
      </c>
      <c r="B17" s="79"/>
      <c r="C17" s="76"/>
      <c r="D17" s="80"/>
      <c r="E17" s="78"/>
      <c r="F17" s="75"/>
      <c r="G17" s="75"/>
      <c r="H17" s="76"/>
      <c r="I17" s="50" t="str">
        <f aca="false">IF(AND(C17="",B17="",D17=""),"",IF(C17="","⚠ Pick supplier",IF(ISNA(MATCH(C17,Suppliers!$B$7:$B$106,0)),"⚠ Supplier not in list",IF(B17="","⚠ Enter date",IF(N(D17)&lt;=0,"⚠ Enter amount",IF(AND(F17&lt;&gt;"",NOT(COUNTIFS(Bills!$D$8:$D$507,C17,Bills!$C$8:$C$507,F17)&gt;0)),"⚠ Bill not found – treated as on account",IF(F17="","✔ On account","✔")))))))</f>
        <v/>
      </c>
      <c r="J17" s="9" t="n">
        <f aca="false">IF(C17="",0,IF(F17="",N(D17),IF(COUNTIFS(Bills!$D$8:$D$507,C17,Bills!$C$8:$C$507,F17)&gt;0,0,N(D17))))</f>
        <v>0</v>
      </c>
    </row>
    <row r="18" customFormat="false" ht="15" hidden="false" customHeight="false" outlineLevel="0" collapsed="false">
      <c r="A18" s="40" t="str">
        <f aca="false">IF(C18="","",ROW()-7)</f>
        <v/>
      </c>
      <c r="B18" s="79"/>
      <c r="C18" s="76"/>
      <c r="D18" s="80"/>
      <c r="E18" s="78"/>
      <c r="F18" s="75"/>
      <c r="G18" s="75"/>
      <c r="H18" s="76"/>
      <c r="I18" s="50" t="str">
        <f aca="false">IF(AND(C18="",B18="",D18=""),"",IF(C18="","⚠ Pick supplier",IF(ISNA(MATCH(C18,Suppliers!$B$7:$B$106,0)),"⚠ Supplier not in list",IF(B18="","⚠ Enter date",IF(N(D18)&lt;=0,"⚠ Enter amount",IF(AND(F18&lt;&gt;"",NOT(COUNTIFS(Bills!$D$8:$D$507,C18,Bills!$C$8:$C$507,F18)&gt;0)),"⚠ Bill not found – treated as on account",IF(F18="","✔ On account","✔")))))))</f>
        <v/>
      </c>
      <c r="J18" s="9" t="n">
        <f aca="false">IF(C18="",0,IF(F18="",N(D18),IF(COUNTIFS(Bills!$D$8:$D$507,C18,Bills!$C$8:$C$507,F18)&gt;0,0,N(D18))))</f>
        <v>0</v>
      </c>
    </row>
    <row r="19" customFormat="false" ht="15" hidden="false" customHeight="false" outlineLevel="0" collapsed="false">
      <c r="A19" s="40" t="str">
        <f aca="false">IF(C19="","",ROW()-7)</f>
        <v/>
      </c>
      <c r="B19" s="79"/>
      <c r="C19" s="76"/>
      <c r="D19" s="80"/>
      <c r="E19" s="78"/>
      <c r="F19" s="75"/>
      <c r="G19" s="75"/>
      <c r="H19" s="76"/>
      <c r="I19" s="50" t="str">
        <f aca="false">IF(AND(C19="",B19="",D19=""),"",IF(C19="","⚠ Pick supplier",IF(ISNA(MATCH(C19,Suppliers!$B$7:$B$106,0)),"⚠ Supplier not in list",IF(B19="","⚠ Enter date",IF(N(D19)&lt;=0,"⚠ Enter amount",IF(AND(F19&lt;&gt;"",NOT(COUNTIFS(Bills!$D$8:$D$507,C19,Bills!$C$8:$C$507,F19)&gt;0)),"⚠ Bill not found – treated as on account",IF(F19="","✔ On account","✔")))))))</f>
        <v/>
      </c>
      <c r="J19" s="9" t="n">
        <f aca="false">IF(C19="",0,IF(F19="",N(D19),IF(COUNTIFS(Bills!$D$8:$D$507,C19,Bills!$C$8:$C$507,F19)&gt;0,0,N(D19))))</f>
        <v>0</v>
      </c>
    </row>
    <row r="20" customFormat="false" ht="15" hidden="false" customHeight="false" outlineLevel="0" collapsed="false">
      <c r="A20" s="40" t="str">
        <f aca="false">IF(C20="","",ROW()-7)</f>
        <v/>
      </c>
      <c r="B20" s="79"/>
      <c r="C20" s="76"/>
      <c r="D20" s="80"/>
      <c r="E20" s="78"/>
      <c r="F20" s="75"/>
      <c r="G20" s="75"/>
      <c r="H20" s="76"/>
      <c r="I20" s="50" t="str">
        <f aca="false">IF(AND(C20="",B20="",D20=""),"",IF(C20="","⚠ Pick supplier",IF(ISNA(MATCH(C20,Suppliers!$B$7:$B$106,0)),"⚠ Supplier not in list",IF(B20="","⚠ Enter date",IF(N(D20)&lt;=0,"⚠ Enter amount",IF(AND(F20&lt;&gt;"",NOT(COUNTIFS(Bills!$D$8:$D$507,C20,Bills!$C$8:$C$507,F20)&gt;0)),"⚠ Bill not found – treated as on account",IF(F20="","✔ On account","✔")))))))</f>
        <v/>
      </c>
      <c r="J20" s="9" t="n">
        <f aca="false">IF(C20="",0,IF(F20="",N(D20),IF(COUNTIFS(Bills!$D$8:$D$507,C20,Bills!$C$8:$C$507,F20)&gt;0,0,N(D20))))</f>
        <v>0</v>
      </c>
    </row>
    <row r="21" customFormat="false" ht="15" hidden="false" customHeight="false" outlineLevel="0" collapsed="false">
      <c r="A21" s="40" t="str">
        <f aca="false">IF(C21="","",ROW()-7)</f>
        <v/>
      </c>
      <c r="B21" s="79"/>
      <c r="C21" s="76"/>
      <c r="D21" s="80"/>
      <c r="E21" s="78"/>
      <c r="F21" s="75"/>
      <c r="G21" s="75"/>
      <c r="H21" s="76"/>
      <c r="I21" s="50" t="str">
        <f aca="false">IF(AND(C21="",B21="",D21=""),"",IF(C21="","⚠ Pick supplier",IF(ISNA(MATCH(C21,Suppliers!$B$7:$B$106,0)),"⚠ Supplier not in list",IF(B21="","⚠ Enter date",IF(N(D21)&lt;=0,"⚠ Enter amount",IF(AND(F21&lt;&gt;"",NOT(COUNTIFS(Bills!$D$8:$D$507,C21,Bills!$C$8:$C$507,F21)&gt;0)),"⚠ Bill not found – treated as on account",IF(F21="","✔ On account","✔")))))))</f>
        <v/>
      </c>
      <c r="J21" s="9" t="n">
        <f aca="false">IF(C21="",0,IF(F21="",N(D21),IF(COUNTIFS(Bills!$D$8:$D$507,C21,Bills!$C$8:$C$507,F21)&gt;0,0,N(D21))))</f>
        <v>0</v>
      </c>
    </row>
    <row r="22" customFormat="false" ht="15" hidden="false" customHeight="false" outlineLevel="0" collapsed="false">
      <c r="A22" s="40" t="str">
        <f aca="false">IF(C22="","",ROW()-7)</f>
        <v/>
      </c>
      <c r="B22" s="79"/>
      <c r="C22" s="76"/>
      <c r="D22" s="80"/>
      <c r="E22" s="78"/>
      <c r="F22" s="75"/>
      <c r="G22" s="75"/>
      <c r="H22" s="76"/>
      <c r="I22" s="50" t="str">
        <f aca="false">IF(AND(C22="",B22="",D22=""),"",IF(C22="","⚠ Pick supplier",IF(ISNA(MATCH(C22,Suppliers!$B$7:$B$106,0)),"⚠ Supplier not in list",IF(B22="","⚠ Enter date",IF(N(D22)&lt;=0,"⚠ Enter amount",IF(AND(F22&lt;&gt;"",NOT(COUNTIFS(Bills!$D$8:$D$507,C22,Bills!$C$8:$C$507,F22)&gt;0)),"⚠ Bill not found – treated as on account",IF(F22="","✔ On account","✔")))))))</f>
        <v/>
      </c>
      <c r="J22" s="9" t="n">
        <f aca="false">IF(C22="",0,IF(F22="",N(D22),IF(COUNTIFS(Bills!$D$8:$D$507,C22,Bills!$C$8:$C$507,F22)&gt;0,0,N(D22))))</f>
        <v>0</v>
      </c>
    </row>
    <row r="23" customFormat="false" ht="15" hidden="false" customHeight="false" outlineLevel="0" collapsed="false">
      <c r="A23" s="40" t="str">
        <f aca="false">IF(C23="","",ROW()-7)</f>
        <v/>
      </c>
      <c r="B23" s="79"/>
      <c r="C23" s="76"/>
      <c r="D23" s="80"/>
      <c r="E23" s="78"/>
      <c r="F23" s="75"/>
      <c r="G23" s="75"/>
      <c r="H23" s="76"/>
      <c r="I23" s="50" t="str">
        <f aca="false">IF(AND(C23="",B23="",D23=""),"",IF(C23="","⚠ Pick supplier",IF(ISNA(MATCH(C23,Suppliers!$B$7:$B$106,0)),"⚠ Supplier not in list",IF(B23="","⚠ Enter date",IF(N(D23)&lt;=0,"⚠ Enter amount",IF(AND(F23&lt;&gt;"",NOT(COUNTIFS(Bills!$D$8:$D$507,C23,Bills!$C$8:$C$507,F23)&gt;0)),"⚠ Bill not found – treated as on account",IF(F23="","✔ On account","✔")))))))</f>
        <v/>
      </c>
      <c r="J23" s="9" t="n">
        <f aca="false">IF(C23="",0,IF(F23="",N(D23),IF(COUNTIFS(Bills!$D$8:$D$507,C23,Bills!$C$8:$C$507,F23)&gt;0,0,N(D23))))</f>
        <v>0</v>
      </c>
    </row>
    <row r="24" customFormat="false" ht="15" hidden="false" customHeight="false" outlineLevel="0" collapsed="false">
      <c r="A24" s="40" t="str">
        <f aca="false">IF(C24="","",ROW()-7)</f>
        <v/>
      </c>
      <c r="B24" s="79"/>
      <c r="C24" s="76"/>
      <c r="D24" s="80"/>
      <c r="E24" s="78"/>
      <c r="F24" s="75"/>
      <c r="G24" s="75"/>
      <c r="H24" s="76"/>
      <c r="I24" s="50" t="str">
        <f aca="false">IF(AND(C24="",B24="",D24=""),"",IF(C24="","⚠ Pick supplier",IF(ISNA(MATCH(C24,Suppliers!$B$7:$B$106,0)),"⚠ Supplier not in list",IF(B24="","⚠ Enter date",IF(N(D24)&lt;=0,"⚠ Enter amount",IF(AND(F24&lt;&gt;"",NOT(COUNTIFS(Bills!$D$8:$D$507,C24,Bills!$C$8:$C$507,F24)&gt;0)),"⚠ Bill not found – treated as on account",IF(F24="","✔ On account","✔")))))))</f>
        <v/>
      </c>
      <c r="J24" s="9" t="n">
        <f aca="false">IF(C24="",0,IF(F24="",N(D24),IF(COUNTIFS(Bills!$D$8:$D$507,C24,Bills!$C$8:$C$507,F24)&gt;0,0,N(D24))))</f>
        <v>0</v>
      </c>
    </row>
    <row r="25" customFormat="false" ht="15" hidden="false" customHeight="false" outlineLevel="0" collapsed="false">
      <c r="A25" s="40" t="str">
        <f aca="false">IF(C25="","",ROW()-7)</f>
        <v/>
      </c>
      <c r="B25" s="79"/>
      <c r="C25" s="76"/>
      <c r="D25" s="80"/>
      <c r="E25" s="78"/>
      <c r="F25" s="75"/>
      <c r="G25" s="75"/>
      <c r="H25" s="76"/>
      <c r="I25" s="50" t="str">
        <f aca="false">IF(AND(C25="",B25="",D25=""),"",IF(C25="","⚠ Pick supplier",IF(ISNA(MATCH(C25,Suppliers!$B$7:$B$106,0)),"⚠ Supplier not in list",IF(B25="","⚠ Enter date",IF(N(D25)&lt;=0,"⚠ Enter amount",IF(AND(F25&lt;&gt;"",NOT(COUNTIFS(Bills!$D$8:$D$507,C25,Bills!$C$8:$C$507,F25)&gt;0)),"⚠ Bill not found – treated as on account",IF(F25="","✔ On account","✔")))))))</f>
        <v/>
      </c>
      <c r="J25" s="9" t="n">
        <f aca="false">IF(C25="",0,IF(F25="",N(D25),IF(COUNTIFS(Bills!$D$8:$D$507,C25,Bills!$C$8:$C$507,F25)&gt;0,0,N(D25))))</f>
        <v>0</v>
      </c>
    </row>
    <row r="26" customFormat="false" ht="15" hidden="false" customHeight="false" outlineLevel="0" collapsed="false">
      <c r="A26" s="40" t="str">
        <f aca="false">IF(C26="","",ROW()-7)</f>
        <v/>
      </c>
      <c r="B26" s="79"/>
      <c r="C26" s="76"/>
      <c r="D26" s="80"/>
      <c r="E26" s="78"/>
      <c r="F26" s="75"/>
      <c r="G26" s="75"/>
      <c r="H26" s="76"/>
      <c r="I26" s="50" t="str">
        <f aca="false">IF(AND(C26="",B26="",D26=""),"",IF(C26="","⚠ Pick supplier",IF(ISNA(MATCH(C26,Suppliers!$B$7:$B$106,0)),"⚠ Supplier not in list",IF(B26="","⚠ Enter date",IF(N(D26)&lt;=0,"⚠ Enter amount",IF(AND(F26&lt;&gt;"",NOT(COUNTIFS(Bills!$D$8:$D$507,C26,Bills!$C$8:$C$507,F26)&gt;0)),"⚠ Bill not found – treated as on account",IF(F26="","✔ On account","✔")))))))</f>
        <v/>
      </c>
      <c r="J26" s="9" t="n">
        <f aca="false">IF(C26="",0,IF(F26="",N(D26),IF(COUNTIFS(Bills!$D$8:$D$507,C26,Bills!$C$8:$C$507,F26)&gt;0,0,N(D26))))</f>
        <v>0</v>
      </c>
    </row>
    <row r="27" customFormat="false" ht="15" hidden="false" customHeight="false" outlineLevel="0" collapsed="false">
      <c r="A27" s="40" t="str">
        <f aca="false">IF(C27="","",ROW()-7)</f>
        <v/>
      </c>
      <c r="B27" s="79"/>
      <c r="C27" s="76"/>
      <c r="D27" s="80"/>
      <c r="E27" s="78"/>
      <c r="F27" s="75"/>
      <c r="G27" s="75"/>
      <c r="H27" s="76"/>
      <c r="I27" s="50" t="str">
        <f aca="false">IF(AND(C27="",B27="",D27=""),"",IF(C27="","⚠ Pick supplier",IF(ISNA(MATCH(C27,Suppliers!$B$7:$B$106,0)),"⚠ Supplier not in list",IF(B27="","⚠ Enter date",IF(N(D27)&lt;=0,"⚠ Enter amount",IF(AND(F27&lt;&gt;"",NOT(COUNTIFS(Bills!$D$8:$D$507,C27,Bills!$C$8:$C$507,F27)&gt;0)),"⚠ Bill not found – treated as on account",IF(F27="","✔ On account","✔")))))))</f>
        <v/>
      </c>
      <c r="J27" s="9" t="n">
        <f aca="false">IF(C27="",0,IF(F27="",N(D27),IF(COUNTIFS(Bills!$D$8:$D$507,C27,Bills!$C$8:$C$507,F27)&gt;0,0,N(D27))))</f>
        <v>0</v>
      </c>
    </row>
    <row r="28" customFormat="false" ht="15" hidden="false" customHeight="false" outlineLevel="0" collapsed="false">
      <c r="A28" s="40" t="str">
        <f aca="false">IF(C28="","",ROW()-7)</f>
        <v/>
      </c>
      <c r="B28" s="79"/>
      <c r="C28" s="76"/>
      <c r="D28" s="80"/>
      <c r="E28" s="78"/>
      <c r="F28" s="75"/>
      <c r="G28" s="75"/>
      <c r="H28" s="76"/>
      <c r="I28" s="50" t="str">
        <f aca="false">IF(AND(C28="",B28="",D28=""),"",IF(C28="","⚠ Pick supplier",IF(ISNA(MATCH(C28,Suppliers!$B$7:$B$106,0)),"⚠ Supplier not in list",IF(B28="","⚠ Enter date",IF(N(D28)&lt;=0,"⚠ Enter amount",IF(AND(F28&lt;&gt;"",NOT(COUNTIFS(Bills!$D$8:$D$507,C28,Bills!$C$8:$C$507,F28)&gt;0)),"⚠ Bill not found – treated as on account",IF(F28="","✔ On account","✔")))))))</f>
        <v/>
      </c>
      <c r="J28" s="9" t="n">
        <f aca="false">IF(C28="",0,IF(F28="",N(D28),IF(COUNTIFS(Bills!$D$8:$D$507,C28,Bills!$C$8:$C$507,F28)&gt;0,0,N(D28))))</f>
        <v>0</v>
      </c>
    </row>
    <row r="29" customFormat="false" ht="15" hidden="false" customHeight="false" outlineLevel="0" collapsed="false">
      <c r="A29" s="40" t="str">
        <f aca="false">IF(C29="","",ROW()-7)</f>
        <v/>
      </c>
      <c r="B29" s="79"/>
      <c r="C29" s="76"/>
      <c r="D29" s="80"/>
      <c r="E29" s="78"/>
      <c r="F29" s="75"/>
      <c r="G29" s="75"/>
      <c r="H29" s="76"/>
      <c r="I29" s="50" t="str">
        <f aca="false">IF(AND(C29="",B29="",D29=""),"",IF(C29="","⚠ Pick supplier",IF(ISNA(MATCH(C29,Suppliers!$B$7:$B$106,0)),"⚠ Supplier not in list",IF(B29="","⚠ Enter date",IF(N(D29)&lt;=0,"⚠ Enter amount",IF(AND(F29&lt;&gt;"",NOT(COUNTIFS(Bills!$D$8:$D$507,C29,Bills!$C$8:$C$507,F29)&gt;0)),"⚠ Bill not found – treated as on account",IF(F29="","✔ On account","✔")))))))</f>
        <v/>
      </c>
      <c r="J29" s="9" t="n">
        <f aca="false">IF(C29="",0,IF(F29="",N(D29),IF(COUNTIFS(Bills!$D$8:$D$507,C29,Bills!$C$8:$C$507,F29)&gt;0,0,N(D29))))</f>
        <v>0</v>
      </c>
    </row>
    <row r="30" customFormat="false" ht="15" hidden="false" customHeight="false" outlineLevel="0" collapsed="false">
      <c r="A30" s="40" t="str">
        <f aca="false">IF(C30="","",ROW()-7)</f>
        <v/>
      </c>
      <c r="B30" s="79"/>
      <c r="C30" s="76"/>
      <c r="D30" s="80"/>
      <c r="E30" s="78"/>
      <c r="F30" s="75"/>
      <c r="G30" s="75"/>
      <c r="H30" s="76"/>
      <c r="I30" s="50" t="str">
        <f aca="false">IF(AND(C30="",B30="",D30=""),"",IF(C30="","⚠ Pick supplier",IF(ISNA(MATCH(C30,Suppliers!$B$7:$B$106,0)),"⚠ Supplier not in list",IF(B30="","⚠ Enter date",IF(N(D30)&lt;=0,"⚠ Enter amount",IF(AND(F30&lt;&gt;"",NOT(COUNTIFS(Bills!$D$8:$D$507,C30,Bills!$C$8:$C$507,F30)&gt;0)),"⚠ Bill not found – treated as on account",IF(F30="","✔ On account","✔")))))))</f>
        <v/>
      </c>
      <c r="J30" s="9" t="n">
        <f aca="false">IF(C30="",0,IF(F30="",N(D30),IF(COUNTIFS(Bills!$D$8:$D$507,C30,Bills!$C$8:$C$507,F30)&gt;0,0,N(D30))))</f>
        <v>0</v>
      </c>
    </row>
    <row r="31" customFormat="false" ht="15" hidden="false" customHeight="false" outlineLevel="0" collapsed="false">
      <c r="A31" s="40" t="str">
        <f aca="false">IF(C31="","",ROW()-7)</f>
        <v/>
      </c>
      <c r="B31" s="79"/>
      <c r="C31" s="76"/>
      <c r="D31" s="80"/>
      <c r="E31" s="78"/>
      <c r="F31" s="75"/>
      <c r="G31" s="75"/>
      <c r="H31" s="76"/>
      <c r="I31" s="50" t="str">
        <f aca="false">IF(AND(C31="",B31="",D31=""),"",IF(C31="","⚠ Pick supplier",IF(ISNA(MATCH(C31,Suppliers!$B$7:$B$106,0)),"⚠ Supplier not in list",IF(B31="","⚠ Enter date",IF(N(D31)&lt;=0,"⚠ Enter amount",IF(AND(F31&lt;&gt;"",NOT(COUNTIFS(Bills!$D$8:$D$507,C31,Bills!$C$8:$C$507,F31)&gt;0)),"⚠ Bill not found – treated as on account",IF(F31="","✔ On account","✔")))))))</f>
        <v/>
      </c>
      <c r="J31" s="9" t="n">
        <f aca="false">IF(C31="",0,IF(F31="",N(D31),IF(COUNTIFS(Bills!$D$8:$D$507,C31,Bills!$C$8:$C$507,F31)&gt;0,0,N(D31))))</f>
        <v>0</v>
      </c>
    </row>
    <row r="32" customFormat="false" ht="15" hidden="false" customHeight="false" outlineLevel="0" collapsed="false">
      <c r="A32" s="40" t="str">
        <f aca="false">IF(C32="","",ROW()-7)</f>
        <v/>
      </c>
      <c r="B32" s="79"/>
      <c r="C32" s="76"/>
      <c r="D32" s="80"/>
      <c r="E32" s="78"/>
      <c r="F32" s="75"/>
      <c r="G32" s="75"/>
      <c r="H32" s="76"/>
      <c r="I32" s="50" t="str">
        <f aca="false">IF(AND(C32="",B32="",D32=""),"",IF(C32="","⚠ Pick supplier",IF(ISNA(MATCH(C32,Suppliers!$B$7:$B$106,0)),"⚠ Supplier not in list",IF(B32="","⚠ Enter date",IF(N(D32)&lt;=0,"⚠ Enter amount",IF(AND(F32&lt;&gt;"",NOT(COUNTIFS(Bills!$D$8:$D$507,C32,Bills!$C$8:$C$507,F32)&gt;0)),"⚠ Bill not found – treated as on account",IF(F32="","✔ On account","✔")))))))</f>
        <v/>
      </c>
      <c r="J32" s="9" t="n">
        <f aca="false">IF(C32="",0,IF(F32="",N(D32),IF(COUNTIFS(Bills!$D$8:$D$507,C32,Bills!$C$8:$C$507,F32)&gt;0,0,N(D32))))</f>
        <v>0</v>
      </c>
    </row>
    <row r="33" customFormat="false" ht="15" hidden="false" customHeight="false" outlineLevel="0" collapsed="false">
      <c r="A33" s="40" t="str">
        <f aca="false">IF(C33="","",ROW()-7)</f>
        <v/>
      </c>
      <c r="B33" s="79"/>
      <c r="C33" s="76"/>
      <c r="D33" s="80"/>
      <c r="E33" s="78"/>
      <c r="F33" s="75"/>
      <c r="G33" s="75"/>
      <c r="H33" s="76"/>
      <c r="I33" s="50" t="str">
        <f aca="false">IF(AND(C33="",B33="",D33=""),"",IF(C33="","⚠ Pick supplier",IF(ISNA(MATCH(C33,Suppliers!$B$7:$B$106,0)),"⚠ Supplier not in list",IF(B33="","⚠ Enter date",IF(N(D33)&lt;=0,"⚠ Enter amount",IF(AND(F33&lt;&gt;"",NOT(COUNTIFS(Bills!$D$8:$D$507,C33,Bills!$C$8:$C$507,F33)&gt;0)),"⚠ Bill not found – treated as on account",IF(F33="","✔ On account","✔")))))))</f>
        <v/>
      </c>
      <c r="J33" s="9" t="n">
        <f aca="false">IF(C33="",0,IF(F33="",N(D33),IF(COUNTIFS(Bills!$D$8:$D$507,C33,Bills!$C$8:$C$507,F33)&gt;0,0,N(D33))))</f>
        <v>0</v>
      </c>
    </row>
    <row r="34" customFormat="false" ht="15" hidden="false" customHeight="false" outlineLevel="0" collapsed="false">
      <c r="A34" s="40" t="str">
        <f aca="false">IF(C34="","",ROW()-7)</f>
        <v/>
      </c>
      <c r="B34" s="79"/>
      <c r="C34" s="76"/>
      <c r="D34" s="80"/>
      <c r="E34" s="78"/>
      <c r="F34" s="75"/>
      <c r="G34" s="75"/>
      <c r="H34" s="76"/>
      <c r="I34" s="50" t="str">
        <f aca="false">IF(AND(C34="",B34="",D34=""),"",IF(C34="","⚠ Pick supplier",IF(ISNA(MATCH(C34,Suppliers!$B$7:$B$106,0)),"⚠ Supplier not in list",IF(B34="","⚠ Enter date",IF(N(D34)&lt;=0,"⚠ Enter amount",IF(AND(F34&lt;&gt;"",NOT(COUNTIFS(Bills!$D$8:$D$507,C34,Bills!$C$8:$C$507,F34)&gt;0)),"⚠ Bill not found – treated as on account",IF(F34="","✔ On account","✔")))))))</f>
        <v/>
      </c>
      <c r="J34" s="9" t="n">
        <f aca="false">IF(C34="",0,IF(F34="",N(D34),IF(COUNTIFS(Bills!$D$8:$D$507,C34,Bills!$C$8:$C$507,F34)&gt;0,0,N(D34))))</f>
        <v>0</v>
      </c>
    </row>
    <row r="35" customFormat="false" ht="15" hidden="false" customHeight="false" outlineLevel="0" collapsed="false">
      <c r="A35" s="40" t="str">
        <f aca="false">IF(C35="","",ROW()-7)</f>
        <v/>
      </c>
      <c r="B35" s="79"/>
      <c r="C35" s="76"/>
      <c r="D35" s="80"/>
      <c r="E35" s="78"/>
      <c r="F35" s="75"/>
      <c r="G35" s="75"/>
      <c r="H35" s="76"/>
      <c r="I35" s="50" t="str">
        <f aca="false">IF(AND(C35="",B35="",D35=""),"",IF(C35="","⚠ Pick supplier",IF(ISNA(MATCH(C35,Suppliers!$B$7:$B$106,0)),"⚠ Supplier not in list",IF(B35="","⚠ Enter date",IF(N(D35)&lt;=0,"⚠ Enter amount",IF(AND(F35&lt;&gt;"",NOT(COUNTIFS(Bills!$D$8:$D$507,C35,Bills!$C$8:$C$507,F35)&gt;0)),"⚠ Bill not found – treated as on account",IF(F35="","✔ On account","✔")))))))</f>
        <v/>
      </c>
      <c r="J35" s="9" t="n">
        <f aca="false">IF(C35="",0,IF(F35="",N(D35),IF(COUNTIFS(Bills!$D$8:$D$507,C35,Bills!$C$8:$C$507,F35)&gt;0,0,N(D35))))</f>
        <v>0</v>
      </c>
    </row>
    <row r="36" customFormat="false" ht="15" hidden="false" customHeight="false" outlineLevel="0" collapsed="false">
      <c r="A36" s="40" t="str">
        <f aca="false">IF(C36="","",ROW()-7)</f>
        <v/>
      </c>
      <c r="B36" s="79"/>
      <c r="C36" s="76"/>
      <c r="D36" s="80"/>
      <c r="E36" s="78"/>
      <c r="F36" s="75"/>
      <c r="G36" s="75"/>
      <c r="H36" s="76"/>
      <c r="I36" s="50" t="str">
        <f aca="false">IF(AND(C36="",B36="",D36=""),"",IF(C36="","⚠ Pick supplier",IF(ISNA(MATCH(C36,Suppliers!$B$7:$B$106,0)),"⚠ Supplier not in list",IF(B36="","⚠ Enter date",IF(N(D36)&lt;=0,"⚠ Enter amount",IF(AND(F36&lt;&gt;"",NOT(COUNTIFS(Bills!$D$8:$D$507,C36,Bills!$C$8:$C$507,F36)&gt;0)),"⚠ Bill not found – treated as on account",IF(F36="","✔ On account","✔")))))))</f>
        <v/>
      </c>
      <c r="J36" s="9" t="n">
        <f aca="false">IF(C36="",0,IF(F36="",N(D36),IF(COUNTIFS(Bills!$D$8:$D$507,C36,Bills!$C$8:$C$507,F36)&gt;0,0,N(D36))))</f>
        <v>0</v>
      </c>
    </row>
    <row r="37" customFormat="false" ht="15" hidden="false" customHeight="false" outlineLevel="0" collapsed="false">
      <c r="A37" s="40" t="str">
        <f aca="false">IF(C37="","",ROW()-7)</f>
        <v/>
      </c>
      <c r="B37" s="79"/>
      <c r="C37" s="76"/>
      <c r="D37" s="80"/>
      <c r="E37" s="78"/>
      <c r="F37" s="75"/>
      <c r="G37" s="75"/>
      <c r="H37" s="76"/>
      <c r="I37" s="50" t="str">
        <f aca="false">IF(AND(C37="",B37="",D37=""),"",IF(C37="","⚠ Pick supplier",IF(ISNA(MATCH(C37,Suppliers!$B$7:$B$106,0)),"⚠ Supplier not in list",IF(B37="","⚠ Enter date",IF(N(D37)&lt;=0,"⚠ Enter amount",IF(AND(F37&lt;&gt;"",NOT(COUNTIFS(Bills!$D$8:$D$507,C37,Bills!$C$8:$C$507,F37)&gt;0)),"⚠ Bill not found – treated as on account",IF(F37="","✔ On account","✔")))))))</f>
        <v/>
      </c>
      <c r="J37" s="9" t="n">
        <f aca="false">IF(C37="",0,IF(F37="",N(D37),IF(COUNTIFS(Bills!$D$8:$D$507,C37,Bills!$C$8:$C$507,F37)&gt;0,0,N(D37))))</f>
        <v>0</v>
      </c>
    </row>
    <row r="38" customFormat="false" ht="15" hidden="false" customHeight="false" outlineLevel="0" collapsed="false">
      <c r="A38" s="40" t="str">
        <f aca="false">IF(C38="","",ROW()-7)</f>
        <v/>
      </c>
      <c r="B38" s="79"/>
      <c r="C38" s="76"/>
      <c r="D38" s="80"/>
      <c r="E38" s="78"/>
      <c r="F38" s="75"/>
      <c r="G38" s="75"/>
      <c r="H38" s="76"/>
      <c r="I38" s="50" t="str">
        <f aca="false">IF(AND(C38="",B38="",D38=""),"",IF(C38="","⚠ Pick supplier",IF(ISNA(MATCH(C38,Suppliers!$B$7:$B$106,0)),"⚠ Supplier not in list",IF(B38="","⚠ Enter date",IF(N(D38)&lt;=0,"⚠ Enter amount",IF(AND(F38&lt;&gt;"",NOT(COUNTIFS(Bills!$D$8:$D$507,C38,Bills!$C$8:$C$507,F38)&gt;0)),"⚠ Bill not found – treated as on account",IF(F38="","✔ On account","✔")))))))</f>
        <v/>
      </c>
      <c r="J38" s="9" t="n">
        <f aca="false">IF(C38="",0,IF(F38="",N(D38),IF(COUNTIFS(Bills!$D$8:$D$507,C38,Bills!$C$8:$C$507,F38)&gt;0,0,N(D38))))</f>
        <v>0</v>
      </c>
    </row>
    <row r="39" customFormat="false" ht="15" hidden="false" customHeight="false" outlineLevel="0" collapsed="false">
      <c r="A39" s="40" t="str">
        <f aca="false">IF(C39="","",ROW()-7)</f>
        <v/>
      </c>
      <c r="B39" s="79"/>
      <c r="C39" s="76"/>
      <c r="D39" s="80"/>
      <c r="E39" s="78"/>
      <c r="F39" s="75"/>
      <c r="G39" s="75"/>
      <c r="H39" s="76"/>
      <c r="I39" s="50" t="str">
        <f aca="false">IF(AND(C39="",B39="",D39=""),"",IF(C39="","⚠ Pick supplier",IF(ISNA(MATCH(C39,Suppliers!$B$7:$B$106,0)),"⚠ Supplier not in list",IF(B39="","⚠ Enter date",IF(N(D39)&lt;=0,"⚠ Enter amount",IF(AND(F39&lt;&gt;"",NOT(COUNTIFS(Bills!$D$8:$D$507,C39,Bills!$C$8:$C$507,F39)&gt;0)),"⚠ Bill not found – treated as on account",IF(F39="","✔ On account","✔")))))))</f>
        <v/>
      </c>
      <c r="J39" s="9" t="n">
        <f aca="false">IF(C39="",0,IF(F39="",N(D39),IF(COUNTIFS(Bills!$D$8:$D$507,C39,Bills!$C$8:$C$507,F39)&gt;0,0,N(D39))))</f>
        <v>0</v>
      </c>
    </row>
    <row r="40" customFormat="false" ht="15" hidden="false" customHeight="false" outlineLevel="0" collapsed="false">
      <c r="A40" s="40" t="str">
        <f aca="false">IF(C40="","",ROW()-7)</f>
        <v/>
      </c>
      <c r="B40" s="79"/>
      <c r="C40" s="76"/>
      <c r="D40" s="80"/>
      <c r="E40" s="78"/>
      <c r="F40" s="75"/>
      <c r="G40" s="75"/>
      <c r="H40" s="76"/>
      <c r="I40" s="50" t="str">
        <f aca="false">IF(AND(C40="",B40="",D40=""),"",IF(C40="","⚠ Pick supplier",IF(ISNA(MATCH(C40,Suppliers!$B$7:$B$106,0)),"⚠ Supplier not in list",IF(B40="","⚠ Enter date",IF(N(D40)&lt;=0,"⚠ Enter amount",IF(AND(F40&lt;&gt;"",NOT(COUNTIFS(Bills!$D$8:$D$507,C40,Bills!$C$8:$C$507,F40)&gt;0)),"⚠ Bill not found – treated as on account",IF(F40="","✔ On account","✔")))))))</f>
        <v/>
      </c>
      <c r="J40" s="9" t="n">
        <f aca="false">IF(C40="",0,IF(F40="",N(D40),IF(COUNTIFS(Bills!$D$8:$D$507,C40,Bills!$C$8:$C$507,F40)&gt;0,0,N(D40))))</f>
        <v>0</v>
      </c>
    </row>
    <row r="41" customFormat="false" ht="15" hidden="false" customHeight="false" outlineLevel="0" collapsed="false">
      <c r="A41" s="40" t="str">
        <f aca="false">IF(C41="","",ROW()-7)</f>
        <v/>
      </c>
      <c r="B41" s="79"/>
      <c r="C41" s="76"/>
      <c r="D41" s="80"/>
      <c r="E41" s="78"/>
      <c r="F41" s="75"/>
      <c r="G41" s="75"/>
      <c r="H41" s="76"/>
      <c r="I41" s="50" t="str">
        <f aca="false">IF(AND(C41="",B41="",D41=""),"",IF(C41="","⚠ Pick supplier",IF(ISNA(MATCH(C41,Suppliers!$B$7:$B$106,0)),"⚠ Supplier not in list",IF(B41="","⚠ Enter date",IF(N(D41)&lt;=0,"⚠ Enter amount",IF(AND(F41&lt;&gt;"",NOT(COUNTIFS(Bills!$D$8:$D$507,C41,Bills!$C$8:$C$507,F41)&gt;0)),"⚠ Bill not found – treated as on account",IF(F41="","✔ On account","✔")))))))</f>
        <v/>
      </c>
      <c r="J41" s="9" t="n">
        <f aca="false">IF(C41="",0,IF(F41="",N(D41),IF(COUNTIFS(Bills!$D$8:$D$507,C41,Bills!$C$8:$C$507,F41)&gt;0,0,N(D41))))</f>
        <v>0</v>
      </c>
    </row>
    <row r="42" customFormat="false" ht="15" hidden="false" customHeight="false" outlineLevel="0" collapsed="false">
      <c r="A42" s="40" t="str">
        <f aca="false">IF(C42="","",ROW()-7)</f>
        <v/>
      </c>
      <c r="B42" s="79"/>
      <c r="C42" s="76"/>
      <c r="D42" s="80"/>
      <c r="E42" s="78"/>
      <c r="F42" s="75"/>
      <c r="G42" s="75"/>
      <c r="H42" s="76"/>
      <c r="I42" s="50" t="str">
        <f aca="false">IF(AND(C42="",B42="",D42=""),"",IF(C42="","⚠ Pick supplier",IF(ISNA(MATCH(C42,Suppliers!$B$7:$B$106,0)),"⚠ Supplier not in list",IF(B42="","⚠ Enter date",IF(N(D42)&lt;=0,"⚠ Enter amount",IF(AND(F42&lt;&gt;"",NOT(COUNTIFS(Bills!$D$8:$D$507,C42,Bills!$C$8:$C$507,F42)&gt;0)),"⚠ Bill not found – treated as on account",IF(F42="","✔ On account","✔")))))))</f>
        <v/>
      </c>
      <c r="J42" s="9" t="n">
        <f aca="false">IF(C42="",0,IF(F42="",N(D42),IF(COUNTIFS(Bills!$D$8:$D$507,C42,Bills!$C$8:$C$507,F42)&gt;0,0,N(D42))))</f>
        <v>0</v>
      </c>
    </row>
    <row r="43" customFormat="false" ht="15" hidden="false" customHeight="false" outlineLevel="0" collapsed="false">
      <c r="A43" s="40" t="str">
        <f aca="false">IF(C43="","",ROW()-7)</f>
        <v/>
      </c>
      <c r="B43" s="79"/>
      <c r="C43" s="76"/>
      <c r="D43" s="80"/>
      <c r="E43" s="78"/>
      <c r="F43" s="75"/>
      <c r="G43" s="75"/>
      <c r="H43" s="76"/>
      <c r="I43" s="50" t="str">
        <f aca="false">IF(AND(C43="",B43="",D43=""),"",IF(C43="","⚠ Pick supplier",IF(ISNA(MATCH(C43,Suppliers!$B$7:$B$106,0)),"⚠ Supplier not in list",IF(B43="","⚠ Enter date",IF(N(D43)&lt;=0,"⚠ Enter amount",IF(AND(F43&lt;&gt;"",NOT(COUNTIFS(Bills!$D$8:$D$507,C43,Bills!$C$8:$C$507,F43)&gt;0)),"⚠ Bill not found – treated as on account",IF(F43="","✔ On account","✔")))))))</f>
        <v/>
      </c>
      <c r="J43" s="9" t="n">
        <f aca="false">IF(C43="",0,IF(F43="",N(D43),IF(COUNTIFS(Bills!$D$8:$D$507,C43,Bills!$C$8:$C$507,F43)&gt;0,0,N(D43))))</f>
        <v>0</v>
      </c>
    </row>
    <row r="44" customFormat="false" ht="15" hidden="false" customHeight="false" outlineLevel="0" collapsed="false">
      <c r="A44" s="40" t="str">
        <f aca="false">IF(C44="","",ROW()-7)</f>
        <v/>
      </c>
      <c r="B44" s="79"/>
      <c r="C44" s="76"/>
      <c r="D44" s="80"/>
      <c r="E44" s="78"/>
      <c r="F44" s="75"/>
      <c r="G44" s="75"/>
      <c r="H44" s="76"/>
      <c r="I44" s="50" t="str">
        <f aca="false">IF(AND(C44="",B44="",D44=""),"",IF(C44="","⚠ Pick supplier",IF(ISNA(MATCH(C44,Suppliers!$B$7:$B$106,0)),"⚠ Supplier not in list",IF(B44="","⚠ Enter date",IF(N(D44)&lt;=0,"⚠ Enter amount",IF(AND(F44&lt;&gt;"",NOT(COUNTIFS(Bills!$D$8:$D$507,C44,Bills!$C$8:$C$507,F44)&gt;0)),"⚠ Bill not found – treated as on account",IF(F44="","✔ On account","✔")))))))</f>
        <v/>
      </c>
      <c r="J44" s="9" t="n">
        <f aca="false">IF(C44="",0,IF(F44="",N(D44),IF(COUNTIFS(Bills!$D$8:$D$507,C44,Bills!$C$8:$C$507,F44)&gt;0,0,N(D44))))</f>
        <v>0</v>
      </c>
    </row>
    <row r="45" customFormat="false" ht="15" hidden="false" customHeight="false" outlineLevel="0" collapsed="false">
      <c r="A45" s="40" t="str">
        <f aca="false">IF(C45="","",ROW()-7)</f>
        <v/>
      </c>
      <c r="B45" s="79"/>
      <c r="C45" s="76"/>
      <c r="D45" s="80"/>
      <c r="E45" s="78"/>
      <c r="F45" s="75"/>
      <c r="G45" s="75"/>
      <c r="H45" s="76"/>
      <c r="I45" s="50" t="str">
        <f aca="false">IF(AND(C45="",B45="",D45=""),"",IF(C45="","⚠ Pick supplier",IF(ISNA(MATCH(C45,Suppliers!$B$7:$B$106,0)),"⚠ Supplier not in list",IF(B45="","⚠ Enter date",IF(N(D45)&lt;=0,"⚠ Enter amount",IF(AND(F45&lt;&gt;"",NOT(COUNTIFS(Bills!$D$8:$D$507,C45,Bills!$C$8:$C$507,F45)&gt;0)),"⚠ Bill not found – treated as on account",IF(F45="","✔ On account","✔")))))))</f>
        <v/>
      </c>
      <c r="J45" s="9" t="n">
        <f aca="false">IF(C45="",0,IF(F45="",N(D45),IF(COUNTIFS(Bills!$D$8:$D$507,C45,Bills!$C$8:$C$507,F45)&gt;0,0,N(D45))))</f>
        <v>0</v>
      </c>
    </row>
    <row r="46" customFormat="false" ht="15" hidden="false" customHeight="false" outlineLevel="0" collapsed="false">
      <c r="A46" s="40" t="str">
        <f aca="false">IF(C46="","",ROW()-7)</f>
        <v/>
      </c>
      <c r="B46" s="79"/>
      <c r="C46" s="76"/>
      <c r="D46" s="80"/>
      <c r="E46" s="78"/>
      <c r="F46" s="75"/>
      <c r="G46" s="75"/>
      <c r="H46" s="76"/>
      <c r="I46" s="50" t="str">
        <f aca="false">IF(AND(C46="",B46="",D46=""),"",IF(C46="","⚠ Pick supplier",IF(ISNA(MATCH(C46,Suppliers!$B$7:$B$106,0)),"⚠ Supplier not in list",IF(B46="","⚠ Enter date",IF(N(D46)&lt;=0,"⚠ Enter amount",IF(AND(F46&lt;&gt;"",NOT(COUNTIFS(Bills!$D$8:$D$507,C46,Bills!$C$8:$C$507,F46)&gt;0)),"⚠ Bill not found – treated as on account",IF(F46="","✔ On account","✔")))))))</f>
        <v/>
      </c>
      <c r="J46" s="9" t="n">
        <f aca="false">IF(C46="",0,IF(F46="",N(D46),IF(COUNTIFS(Bills!$D$8:$D$507,C46,Bills!$C$8:$C$507,F46)&gt;0,0,N(D46))))</f>
        <v>0</v>
      </c>
    </row>
    <row r="47" customFormat="false" ht="15" hidden="false" customHeight="false" outlineLevel="0" collapsed="false">
      <c r="A47" s="40" t="str">
        <f aca="false">IF(C47="","",ROW()-7)</f>
        <v/>
      </c>
      <c r="B47" s="79"/>
      <c r="C47" s="76"/>
      <c r="D47" s="80"/>
      <c r="E47" s="78"/>
      <c r="F47" s="75"/>
      <c r="G47" s="75"/>
      <c r="H47" s="76"/>
      <c r="I47" s="50" t="str">
        <f aca="false">IF(AND(C47="",B47="",D47=""),"",IF(C47="","⚠ Pick supplier",IF(ISNA(MATCH(C47,Suppliers!$B$7:$B$106,0)),"⚠ Supplier not in list",IF(B47="","⚠ Enter date",IF(N(D47)&lt;=0,"⚠ Enter amount",IF(AND(F47&lt;&gt;"",NOT(COUNTIFS(Bills!$D$8:$D$507,C47,Bills!$C$8:$C$507,F47)&gt;0)),"⚠ Bill not found – treated as on account",IF(F47="","✔ On account","✔")))))))</f>
        <v/>
      </c>
      <c r="J47" s="9" t="n">
        <f aca="false">IF(C47="",0,IF(F47="",N(D47),IF(COUNTIFS(Bills!$D$8:$D$507,C47,Bills!$C$8:$C$507,F47)&gt;0,0,N(D47))))</f>
        <v>0</v>
      </c>
    </row>
    <row r="48" customFormat="false" ht="15" hidden="false" customHeight="false" outlineLevel="0" collapsed="false">
      <c r="A48" s="40" t="str">
        <f aca="false">IF(C48="","",ROW()-7)</f>
        <v/>
      </c>
      <c r="B48" s="79"/>
      <c r="C48" s="76"/>
      <c r="D48" s="80"/>
      <c r="E48" s="78"/>
      <c r="F48" s="75"/>
      <c r="G48" s="75"/>
      <c r="H48" s="76"/>
      <c r="I48" s="50" t="str">
        <f aca="false">IF(AND(C48="",B48="",D48=""),"",IF(C48="","⚠ Pick supplier",IF(ISNA(MATCH(C48,Suppliers!$B$7:$B$106,0)),"⚠ Supplier not in list",IF(B48="","⚠ Enter date",IF(N(D48)&lt;=0,"⚠ Enter amount",IF(AND(F48&lt;&gt;"",NOT(COUNTIFS(Bills!$D$8:$D$507,C48,Bills!$C$8:$C$507,F48)&gt;0)),"⚠ Bill not found – treated as on account",IF(F48="","✔ On account","✔")))))))</f>
        <v/>
      </c>
      <c r="J48" s="9" t="n">
        <f aca="false">IF(C48="",0,IF(F48="",N(D48),IF(COUNTIFS(Bills!$D$8:$D$507,C48,Bills!$C$8:$C$507,F48)&gt;0,0,N(D48))))</f>
        <v>0</v>
      </c>
    </row>
    <row r="49" customFormat="false" ht="15" hidden="false" customHeight="false" outlineLevel="0" collapsed="false">
      <c r="A49" s="40" t="str">
        <f aca="false">IF(C49="","",ROW()-7)</f>
        <v/>
      </c>
      <c r="B49" s="79"/>
      <c r="C49" s="76"/>
      <c r="D49" s="80"/>
      <c r="E49" s="78"/>
      <c r="F49" s="75"/>
      <c r="G49" s="75"/>
      <c r="H49" s="76"/>
      <c r="I49" s="50" t="str">
        <f aca="false">IF(AND(C49="",B49="",D49=""),"",IF(C49="","⚠ Pick supplier",IF(ISNA(MATCH(C49,Suppliers!$B$7:$B$106,0)),"⚠ Supplier not in list",IF(B49="","⚠ Enter date",IF(N(D49)&lt;=0,"⚠ Enter amount",IF(AND(F49&lt;&gt;"",NOT(COUNTIFS(Bills!$D$8:$D$507,C49,Bills!$C$8:$C$507,F49)&gt;0)),"⚠ Bill not found – treated as on account",IF(F49="","✔ On account","✔")))))))</f>
        <v/>
      </c>
      <c r="J49" s="9" t="n">
        <f aca="false">IF(C49="",0,IF(F49="",N(D49),IF(COUNTIFS(Bills!$D$8:$D$507,C49,Bills!$C$8:$C$507,F49)&gt;0,0,N(D49))))</f>
        <v>0</v>
      </c>
    </row>
    <row r="50" customFormat="false" ht="15" hidden="false" customHeight="false" outlineLevel="0" collapsed="false">
      <c r="A50" s="40" t="str">
        <f aca="false">IF(C50="","",ROW()-7)</f>
        <v/>
      </c>
      <c r="B50" s="79"/>
      <c r="C50" s="76"/>
      <c r="D50" s="80"/>
      <c r="E50" s="78"/>
      <c r="F50" s="75"/>
      <c r="G50" s="75"/>
      <c r="H50" s="76"/>
      <c r="I50" s="50" t="str">
        <f aca="false">IF(AND(C50="",B50="",D50=""),"",IF(C50="","⚠ Pick supplier",IF(ISNA(MATCH(C50,Suppliers!$B$7:$B$106,0)),"⚠ Supplier not in list",IF(B50="","⚠ Enter date",IF(N(D50)&lt;=0,"⚠ Enter amount",IF(AND(F50&lt;&gt;"",NOT(COUNTIFS(Bills!$D$8:$D$507,C50,Bills!$C$8:$C$507,F50)&gt;0)),"⚠ Bill not found – treated as on account",IF(F50="","✔ On account","✔")))))))</f>
        <v/>
      </c>
      <c r="J50" s="9" t="n">
        <f aca="false">IF(C50="",0,IF(F50="",N(D50),IF(COUNTIFS(Bills!$D$8:$D$507,C50,Bills!$C$8:$C$507,F50)&gt;0,0,N(D50))))</f>
        <v>0</v>
      </c>
    </row>
    <row r="51" customFormat="false" ht="15" hidden="false" customHeight="false" outlineLevel="0" collapsed="false">
      <c r="A51" s="40" t="str">
        <f aca="false">IF(C51="","",ROW()-7)</f>
        <v/>
      </c>
      <c r="B51" s="79"/>
      <c r="C51" s="76"/>
      <c r="D51" s="80"/>
      <c r="E51" s="78"/>
      <c r="F51" s="75"/>
      <c r="G51" s="75"/>
      <c r="H51" s="76"/>
      <c r="I51" s="50" t="str">
        <f aca="false">IF(AND(C51="",B51="",D51=""),"",IF(C51="","⚠ Pick supplier",IF(ISNA(MATCH(C51,Suppliers!$B$7:$B$106,0)),"⚠ Supplier not in list",IF(B51="","⚠ Enter date",IF(N(D51)&lt;=0,"⚠ Enter amount",IF(AND(F51&lt;&gt;"",NOT(COUNTIFS(Bills!$D$8:$D$507,C51,Bills!$C$8:$C$507,F51)&gt;0)),"⚠ Bill not found – treated as on account",IF(F51="","✔ On account","✔")))))))</f>
        <v/>
      </c>
      <c r="J51" s="9" t="n">
        <f aca="false">IF(C51="",0,IF(F51="",N(D51),IF(COUNTIFS(Bills!$D$8:$D$507,C51,Bills!$C$8:$C$507,F51)&gt;0,0,N(D51))))</f>
        <v>0</v>
      </c>
    </row>
    <row r="52" customFormat="false" ht="15" hidden="false" customHeight="false" outlineLevel="0" collapsed="false">
      <c r="A52" s="40" t="str">
        <f aca="false">IF(C52="","",ROW()-7)</f>
        <v/>
      </c>
      <c r="B52" s="79"/>
      <c r="C52" s="76"/>
      <c r="D52" s="80"/>
      <c r="E52" s="78"/>
      <c r="F52" s="75"/>
      <c r="G52" s="75"/>
      <c r="H52" s="76"/>
      <c r="I52" s="50" t="str">
        <f aca="false">IF(AND(C52="",B52="",D52=""),"",IF(C52="","⚠ Pick supplier",IF(ISNA(MATCH(C52,Suppliers!$B$7:$B$106,0)),"⚠ Supplier not in list",IF(B52="","⚠ Enter date",IF(N(D52)&lt;=0,"⚠ Enter amount",IF(AND(F52&lt;&gt;"",NOT(COUNTIFS(Bills!$D$8:$D$507,C52,Bills!$C$8:$C$507,F52)&gt;0)),"⚠ Bill not found – treated as on account",IF(F52="","✔ On account","✔")))))))</f>
        <v/>
      </c>
      <c r="J52" s="9" t="n">
        <f aca="false">IF(C52="",0,IF(F52="",N(D52),IF(COUNTIFS(Bills!$D$8:$D$507,C52,Bills!$C$8:$C$507,F52)&gt;0,0,N(D52))))</f>
        <v>0</v>
      </c>
    </row>
    <row r="53" customFormat="false" ht="15" hidden="false" customHeight="false" outlineLevel="0" collapsed="false">
      <c r="A53" s="40" t="str">
        <f aca="false">IF(C53="","",ROW()-7)</f>
        <v/>
      </c>
      <c r="B53" s="79"/>
      <c r="C53" s="76"/>
      <c r="D53" s="80"/>
      <c r="E53" s="78"/>
      <c r="F53" s="75"/>
      <c r="G53" s="75"/>
      <c r="H53" s="76"/>
      <c r="I53" s="50" t="str">
        <f aca="false">IF(AND(C53="",B53="",D53=""),"",IF(C53="","⚠ Pick supplier",IF(ISNA(MATCH(C53,Suppliers!$B$7:$B$106,0)),"⚠ Supplier not in list",IF(B53="","⚠ Enter date",IF(N(D53)&lt;=0,"⚠ Enter amount",IF(AND(F53&lt;&gt;"",NOT(COUNTIFS(Bills!$D$8:$D$507,C53,Bills!$C$8:$C$507,F53)&gt;0)),"⚠ Bill not found – treated as on account",IF(F53="","✔ On account","✔")))))))</f>
        <v/>
      </c>
      <c r="J53" s="9" t="n">
        <f aca="false">IF(C53="",0,IF(F53="",N(D53),IF(COUNTIFS(Bills!$D$8:$D$507,C53,Bills!$C$8:$C$507,F53)&gt;0,0,N(D53))))</f>
        <v>0</v>
      </c>
    </row>
    <row r="54" customFormat="false" ht="15" hidden="false" customHeight="false" outlineLevel="0" collapsed="false">
      <c r="A54" s="40" t="str">
        <f aca="false">IF(C54="","",ROW()-7)</f>
        <v/>
      </c>
      <c r="B54" s="79"/>
      <c r="C54" s="76"/>
      <c r="D54" s="80"/>
      <c r="E54" s="78"/>
      <c r="F54" s="75"/>
      <c r="G54" s="75"/>
      <c r="H54" s="76"/>
      <c r="I54" s="50" t="str">
        <f aca="false">IF(AND(C54="",B54="",D54=""),"",IF(C54="","⚠ Pick supplier",IF(ISNA(MATCH(C54,Suppliers!$B$7:$B$106,0)),"⚠ Supplier not in list",IF(B54="","⚠ Enter date",IF(N(D54)&lt;=0,"⚠ Enter amount",IF(AND(F54&lt;&gt;"",NOT(COUNTIFS(Bills!$D$8:$D$507,C54,Bills!$C$8:$C$507,F54)&gt;0)),"⚠ Bill not found – treated as on account",IF(F54="","✔ On account","✔")))))))</f>
        <v/>
      </c>
      <c r="J54" s="9" t="n">
        <f aca="false">IF(C54="",0,IF(F54="",N(D54),IF(COUNTIFS(Bills!$D$8:$D$507,C54,Bills!$C$8:$C$507,F54)&gt;0,0,N(D54))))</f>
        <v>0</v>
      </c>
    </row>
    <row r="55" customFormat="false" ht="15" hidden="false" customHeight="false" outlineLevel="0" collapsed="false">
      <c r="A55" s="40" t="str">
        <f aca="false">IF(C55="","",ROW()-7)</f>
        <v/>
      </c>
      <c r="B55" s="79"/>
      <c r="C55" s="76"/>
      <c r="D55" s="80"/>
      <c r="E55" s="78"/>
      <c r="F55" s="75"/>
      <c r="G55" s="75"/>
      <c r="H55" s="76"/>
      <c r="I55" s="50" t="str">
        <f aca="false">IF(AND(C55="",B55="",D55=""),"",IF(C55="","⚠ Pick supplier",IF(ISNA(MATCH(C55,Suppliers!$B$7:$B$106,0)),"⚠ Supplier not in list",IF(B55="","⚠ Enter date",IF(N(D55)&lt;=0,"⚠ Enter amount",IF(AND(F55&lt;&gt;"",NOT(COUNTIFS(Bills!$D$8:$D$507,C55,Bills!$C$8:$C$507,F55)&gt;0)),"⚠ Bill not found – treated as on account",IF(F55="","✔ On account","✔")))))))</f>
        <v/>
      </c>
      <c r="J55" s="9" t="n">
        <f aca="false">IF(C55="",0,IF(F55="",N(D55),IF(COUNTIFS(Bills!$D$8:$D$507,C55,Bills!$C$8:$C$507,F55)&gt;0,0,N(D55))))</f>
        <v>0</v>
      </c>
    </row>
    <row r="56" customFormat="false" ht="15" hidden="false" customHeight="false" outlineLevel="0" collapsed="false">
      <c r="A56" s="40" t="str">
        <f aca="false">IF(C56="","",ROW()-7)</f>
        <v/>
      </c>
      <c r="B56" s="79"/>
      <c r="C56" s="76"/>
      <c r="D56" s="80"/>
      <c r="E56" s="78"/>
      <c r="F56" s="75"/>
      <c r="G56" s="75"/>
      <c r="H56" s="76"/>
      <c r="I56" s="50" t="str">
        <f aca="false">IF(AND(C56="",B56="",D56=""),"",IF(C56="","⚠ Pick supplier",IF(ISNA(MATCH(C56,Suppliers!$B$7:$B$106,0)),"⚠ Supplier not in list",IF(B56="","⚠ Enter date",IF(N(D56)&lt;=0,"⚠ Enter amount",IF(AND(F56&lt;&gt;"",NOT(COUNTIFS(Bills!$D$8:$D$507,C56,Bills!$C$8:$C$507,F56)&gt;0)),"⚠ Bill not found – treated as on account",IF(F56="","✔ On account","✔")))))))</f>
        <v/>
      </c>
      <c r="J56" s="9" t="n">
        <f aca="false">IF(C56="",0,IF(F56="",N(D56),IF(COUNTIFS(Bills!$D$8:$D$507,C56,Bills!$C$8:$C$507,F56)&gt;0,0,N(D56))))</f>
        <v>0</v>
      </c>
    </row>
    <row r="57" customFormat="false" ht="15" hidden="false" customHeight="false" outlineLevel="0" collapsed="false">
      <c r="A57" s="40" t="str">
        <f aca="false">IF(C57="","",ROW()-7)</f>
        <v/>
      </c>
      <c r="B57" s="79"/>
      <c r="C57" s="76"/>
      <c r="D57" s="80"/>
      <c r="E57" s="78"/>
      <c r="F57" s="75"/>
      <c r="G57" s="75"/>
      <c r="H57" s="76"/>
      <c r="I57" s="50" t="str">
        <f aca="false">IF(AND(C57="",B57="",D57=""),"",IF(C57="","⚠ Pick supplier",IF(ISNA(MATCH(C57,Suppliers!$B$7:$B$106,0)),"⚠ Supplier not in list",IF(B57="","⚠ Enter date",IF(N(D57)&lt;=0,"⚠ Enter amount",IF(AND(F57&lt;&gt;"",NOT(COUNTIFS(Bills!$D$8:$D$507,C57,Bills!$C$8:$C$507,F57)&gt;0)),"⚠ Bill not found – treated as on account",IF(F57="","✔ On account","✔")))))))</f>
        <v/>
      </c>
      <c r="J57" s="9" t="n">
        <f aca="false">IF(C57="",0,IF(F57="",N(D57),IF(COUNTIFS(Bills!$D$8:$D$507,C57,Bills!$C$8:$C$507,F57)&gt;0,0,N(D57))))</f>
        <v>0</v>
      </c>
    </row>
    <row r="58" customFormat="false" ht="15" hidden="false" customHeight="false" outlineLevel="0" collapsed="false">
      <c r="A58" s="40" t="str">
        <f aca="false">IF(C58="","",ROW()-7)</f>
        <v/>
      </c>
      <c r="B58" s="79"/>
      <c r="C58" s="76"/>
      <c r="D58" s="80"/>
      <c r="E58" s="78"/>
      <c r="F58" s="75"/>
      <c r="G58" s="75"/>
      <c r="H58" s="76"/>
      <c r="I58" s="50" t="str">
        <f aca="false">IF(AND(C58="",B58="",D58=""),"",IF(C58="","⚠ Pick supplier",IF(ISNA(MATCH(C58,Suppliers!$B$7:$B$106,0)),"⚠ Supplier not in list",IF(B58="","⚠ Enter date",IF(N(D58)&lt;=0,"⚠ Enter amount",IF(AND(F58&lt;&gt;"",NOT(COUNTIFS(Bills!$D$8:$D$507,C58,Bills!$C$8:$C$507,F58)&gt;0)),"⚠ Bill not found – treated as on account",IF(F58="","✔ On account","✔")))))))</f>
        <v/>
      </c>
      <c r="J58" s="9" t="n">
        <f aca="false">IF(C58="",0,IF(F58="",N(D58),IF(COUNTIFS(Bills!$D$8:$D$507,C58,Bills!$C$8:$C$507,F58)&gt;0,0,N(D58))))</f>
        <v>0</v>
      </c>
    </row>
    <row r="59" customFormat="false" ht="15" hidden="false" customHeight="false" outlineLevel="0" collapsed="false">
      <c r="A59" s="40" t="str">
        <f aca="false">IF(C59="","",ROW()-7)</f>
        <v/>
      </c>
      <c r="B59" s="79"/>
      <c r="C59" s="76"/>
      <c r="D59" s="80"/>
      <c r="E59" s="78"/>
      <c r="F59" s="75"/>
      <c r="G59" s="75"/>
      <c r="H59" s="76"/>
      <c r="I59" s="50" t="str">
        <f aca="false">IF(AND(C59="",B59="",D59=""),"",IF(C59="","⚠ Pick supplier",IF(ISNA(MATCH(C59,Suppliers!$B$7:$B$106,0)),"⚠ Supplier not in list",IF(B59="","⚠ Enter date",IF(N(D59)&lt;=0,"⚠ Enter amount",IF(AND(F59&lt;&gt;"",NOT(COUNTIFS(Bills!$D$8:$D$507,C59,Bills!$C$8:$C$507,F59)&gt;0)),"⚠ Bill not found – treated as on account",IF(F59="","✔ On account","✔")))))))</f>
        <v/>
      </c>
      <c r="J59" s="9" t="n">
        <f aca="false">IF(C59="",0,IF(F59="",N(D59),IF(COUNTIFS(Bills!$D$8:$D$507,C59,Bills!$C$8:$C$507,F59)&gt;0,0,N(D59))))</f>
        <v>0</v>
      </c>
    </row>
    <row r="60" customFormat="false" ht="15" hidden="false" customHeight="false" outlineLevel="0" collapsed="false">
      <c r="A60" s="40" t="str">
        <f aca="false">IF(C60="","",ROW()-7)</f>
        <v/>
      </c>
      <c r="B60" s="79"/>
      <c r="C60" s="76"/>
      <c r="D60" s="80"/>
      <c r="E60" s="78"/>
      <c r="F60" s="75"/>
      <c r="G60" s="75"/>
      <c r="H60" s="76"/>
      <c r="I60" s="50" t="str">
        <f aca="false">IF(AND(C60="",B60="",D60=""),"",IF(C60="","⚠ Pick supplier",IF(ISNA(MATCH(C60,Suppliers!$B$7:$B$106,0)),"⚠ Supplier not in list",IF(B60="","⚠ Enter date",IF(N(D60)&lt;=0,"⚠ Enter amount",IF(AND(F60&lt;&gt;"",NOT(COUNTIFS(Bills!$D$8:$D$507,C60,Bills!$C$8:$C$507,F60)&gt;0)),"⚠ Bill not found – treated as on account",IF(F60="","✔ On account","✔")))))))</f>
        <v/>
      </c>
      <c r="J60" s="9" t="n">
        <f aca="false">IF(C60="",0,IF(F60="",N(D60),IF(COUNTIFS(Bills!$D$8:$D$507,C60,Bills!$C$8:$C$507,F60)&gt;0,0,N(D60))))</f>
        <v>0</v>
      </c>
    </row>
    <row r="61" customFormat="false" ht="15" hidden="false" customHeight="false" outlineLevel="0" collapsed="false">
      <c r="A61" s="40" t="str">
        <f aca="false">IF(C61="","",ROW()-7)</f>
        <v/>
      </c>
      <c r="B61" s="79"/>
      <c r="C61" s="76"/>
      <c r="D61" s="80"/>
      <c r="E61" s="78"/>
      <c r="F61" s="75"/>
      <c r="G61" s="75"/>
      <c r="H61" s="76"/>
      <c r="I61" s="50" t="str">
        <f aca="false">IF(AND(C61="",B61="",D61=""),"",IF(C61="","⚠ Pick supplier",IF(ISNA(MATCH(C61,Suppliers!$B$7:$B$106,0)),"⚠ Supplier not in list",IF(B61="","⚠ Enter date",IF(N(D61)&lt;=0,"⚠ Enter amount",IF(AND(F61&lt;&gt;"",NOT(COUNTIFS(Bills!$D$8:$D$507,C61,Bills!$C$8:$C$507,F61)&gt;0)),"⚠ Bill not found – treated as on account",IF(F61="","✔ On account","✔")))))))</f>
        <v/>
      </c>
      <c r="J61" s="9" t="n">
        <f aca="false">IF(C61="",0,IF(F61="",N(D61),IF(COUNTIFS(Bills!$D$8:$D$507,C61,Bills!$C$8:$C$507,F61)&gt;0,0,N(D61))))</f>
        <v>0</v>
      </c>
    </row>
    <row r="62" customFormat="false" ht="15" hidden="false" customHeight="false" outlineLevel="0" collapsed="false">
      <c r="A62" s="40" t="str">
        <f aca="false">IF(C62="","",ROW()-7)</f>
        <v/>
      </c>
      <c r="B62" s="79"/>
      <c r="C62" s="76"/>
      <c r="D62" s="80"/>
      <c r="E62" s="78"/>
      <c r="F62" s="75"/>
      <c r="G62" s="75"/>
      <c r="H62" s="76"/>
      <c r="I62" s="50" t="str">
        <f aca="false">IF(AND(C62="",B62="",D62=""),"",IF(C62="","⚠ Pick supplier",IF(ISNA(MATCH(C62,Suppliers!$B$7:$B$106,0)),"⚠ Supplier not in list",IF(B62="","⚠ Enter date",IF(N(D62)&lt;=0,"⚠ Enter amount",IF(AND(F62&lt;&gt;"",NOT(COUNTIFS(Bills!$D$8:$D$507,C62,Bills!$C$8:$C$507,F62)&gt;0)),"⚠ Bill not found – treated as on account",IF(F62="","✔ On account","✔")))))))</f>
        <v/>
      </c>
      <c r="J62" s="9" t="n">
        <f aca="false">IF(C62="",0,IF(F62="",N(D62),IF(COUNTIFS(Bills!$D$8:$D$507,C62,Bills!$C$8:$C$507,F62)&gt;0,0,N(D62))))</f>
        <v>0</v>
      </c>
    </row>
    <row r="63" customFormat="false" ht="15" hidden="false" customHeight="false" outlineLevel="0" collapsed="false">
      <c r="A63" s="40" t="str">
        <f aca="false">IF(C63="","",ROW()-7)</f>
        <v/>
      </c>
      <c r="B63" s="79"/>
      <c r="C63" s="76"/>
      <c r="D63" s="80"/>
      <c r="E63" s="78"/>
      <c r="F63" s="75"/>
      <c r="G63" s="75"/>
      <c r="H63" s="76"/>
      <c r="I63" s="50" t="str">
        <f aca="false">IF(AND(C63="",B63="",D63=""),"",IF(C63="","⚠ Pick supplier",IF(ISNA(MATCH(C63,Suppliers!$B$7:$B$106,0)),"⚠ Supplier not in list",IF(B63="","⚠ Enter date",IF(N(D63)&lt;=0,"⚠ Enter amount",IF(AND(F63&lt;&gt;"",NOT(COUNTIFS(Bills!$D$8:$D$507,C63,Bills!$C$8:$C$507,F63)&gt;0)),"⚠ Bill not found – treated as on account",IF(F63="","✔ On account","✔")))))))</f>
        <v/>
      </c>
      <c r="J63" s="9" t="n">
        <f aca="false">IF(C63="",0,IF(F63="",N(D63),IF(COUNTIFS(Bills!$D$8:$D$507,C63,Bills!$C$8:$C$507,F63)&gt;0,0,N(D63))))</f>
        <v>0</v>
      </c>
    </row>
    <row r="64" customFormat="false" ht="15" hidden="false" customHeight="false" outlineLevel="0" collapsed="false">
      <c r="A64" s="40" t="str">
        <f aca="false">IF(C64="","",ROW()-7)</f>
        <v/>
      </c>
      <c r="B64" s="79"/>
      <c r="C64" s="76"/>
      <c r="D64" s="80"/>
      <c r="E64" s="78"/>
      <c r="F64" s="75"/>
      <c r="G64" s="75"/>
      <c r="H64" s="76"/>
      <c r="I64" s="50" t="str">
        <f aca="false">IF(AND(C64="",B64="",D64=""),"",IF(C64="","⚠ Pick supplier",IF(ISNA(MATCH(C64,Suppliers!$B$7:$B$106,0)),"⚠ Supplier not in list",IF(B64="","⚠ Enter date",IF(N(D64)&lt;=0,"⚠ Enter amount",IF(AND(F64&lt;&gt;"",NOT(COUNTIFS(Bills!$D$8:$D$507,C64,Bills!$C$8:$C$507,F64)&gt;0)),"⚠ Bill not found – treated as on account",IF(F64="","✔ On account","✔")))))))</f>
        <v/>
      </c>
      <c r="J64" s="9" t="n">
        <f aca="false">IF(C64="",0,IF(F64="",N(D64),IF(COUNTIFS(Bills!$D$8:$D$507,C64,Bills!$C$8:$C$507,F64)&gt;0,0,N(D64))))</f>
        <v>0</v>
      </c>
    </row>
    <row r="65" customFormat="false" ht="15" hidden="false" customHeight="false" outlineLevel="0" collapsed="false">
      <c r="A65" s="40" t="str">
        <f aca="false">IF(C65="","",ROW()-7)</f>
        <v/>
      </c>
      <c r="B65" s="79"/>
      <c r="C65" s="76"/>
      <c r="D65" s="80"/>
      <c r="E65" s="78"/>
      <c r="F65" s="75"/>
      <c r="G65" s="75"/>
      <c r="H65" s="76"/>
      <c r="I65" s="50" t="str">
        <f aca="false">IF(AND(C65="",B65="",D65=""),"",IF(C65="","⚠ Pick supplier",IF(ISNA(MATCH(C65,Suppliers!$B$7:$B$106,0)),"⚠ Supplier not in list",IF(B65="","⚠ Enter date",IF(N(D65)&lt;=0,"⚠ Enter amount",IF(AND(F65&lt;&gt;"",NOT(COUNTIFS(Bills!$D$8:$D$507,C65,Bills!$C$8:$C$507,F65)&gt;0)),"⚠ Bill not found – treated as on account",IF(F65="","✔ On account","✔")))))))</f>
        <v/>
      </c>
      <c r="J65" s="9" t="n">
        <f aca="false">IF(C65="",0,IF(F65="",N(D65),IF(COUNTIFS(Bills!$D$8:$D$507,C65,Bills!$C$8:$C$507,F65)&gt;0,0,N(D65))))</f>
        <v>0</v>
      </c>
    </row>
    <row r="66" customFormat="false" ht="15" hidden="false" customHeight="false" outlineLevel="0" collapsed="false">
      <c r="A66" s="40" t="str">
        <f aca="false">IF(C66="","",ROW()-7)</f>
        <v/>
      </c>
      <c r="B66" s="79"/>
      <c r="C66" s="76"/>
      <c r="D66" s="80"/>
      <c r="E66" s="78"/>
      <c r="F66" s="75"/>
      <c r="G66" s="75"/>
      <c r="H66" s="76"/>
      <c r="I66" s="50" t="str">
        <f aca="false">IF(AND(C66="",B66="",D66=""),"",IF(C66="","⚠ Pick supplier",IF(ISNA(MATCH(C66,Suppliers!$B$7:$B$106,0)),"⚠ Supplier not in list",IF(B66="","⚠ Enter date",IF(N(D66)&lt;=0,"⚠ Enter amount",IF(AND(F66&lt;&gt;"",NOT(COUNTIFS(Bills!$D$8:$D$507,C66,Bills!$C$8:$C$507,F66)&gt;0)),"⚠ Bill not found – treated as on account",IF(F66="","✔ On account","✔")))))))</f>
        <v/>
      </c>
      <c r="J66" s="9" t="n">
        <f aca="false">IF(C66="",0,IF(F66="",N(D66),IF(COUNTIFS(Bills!$D$8:$D$507,C66,Bills!$C$8:$C$507,F66)&gt;0,0,N(D66))))</f>
        <v>0</v>
      </c>
    </row>
    <row r="67" customFormat="false" ht="15" hidden="false" customHeight="false" outlineLevel="0" collapsed="false">
      <c r="A67" s="40" t="str">
        <f aca="false">IF(C67="","",ROW()-7)</f>
        <v/>
      </c>
      <c r="B67" s="79"/>
      <c r="C67" s="76"/>
      <c r="D67" s="80"/>
      <c r="E67" s="78"/>
      <c r="F67" s="75"/>
      <c r="G67" s="75"/>
      <c r="H67" s="76"/>
      <c r="I67" s="50" t="str">
        <f aca="false">IF(AND(C67="",B67="",D67=""),"",IF(C67="","⚠ Pick supplier",IF(ISNA(MATCH(C67,Suppliers!$B$7:$B$106,0)),"⚠ Supplier not in list",IF(B67="","⚠ Enter date",IF(N(D67)&lt;=0,"⚠ Enter amount",IF(AND(F67&lt;&gt;"",NOT(COUNTIFS(Bills!$D$8:$D$507,C67,Bills!$C$8:$C$507,F67)&gt;0)),"⚠ Bill not found – treated as on account",IF(F67="","✔ On account","✔")))))))</f>
        <v/>
      </c>
      <c r="J67" s="9" t="n">
        <f aca="false">IF(C67="",0,IF(F67="",N(D67),IF(COUNTIFS(Bills!$D$8:$D$507,C67,Bills!$C$8:$C$507,F67)&gt;0,0,N(D67))))</f>
        <v>0</v>
      </c>
    </row>
    <row r="68" customFormat="false" ht="15" hidden="false" customHeight="false" outlineLevel="0" collapsed="false">
      <c r="A68" s="40" t="str">
        <f aca="false">IF(C68="","",ROW()-7)</f>
        <v/>
      </c>
      <c r="B68" s="79"/>
      <c r="C68" s="76"/>
      <c r="D68" s="80"/>
      <c r="E68" s="78"/>
      <c r="F68" s="75"/>
      <c r="G68" s="75"/>
      <c r="H68" s="76"/>
      <c r="I68" s="50" t="str">
        <f aca="false">IF(AND(C68="",B68="",D68=""),"",IF(C68="","⚠ Pick supplier",IF(ISNA(MATCH(C68,Suppliers!$B$7:$B$106,0)),"⚠ Supplier not in list",IF(B68="","⚠ Enter date",IF(N(D68)&lt;=0,"⚠ Enter amount",IF(AND(F68&lt;&gt;"",NOT(COUNTIFS(Bills!$D$8:$D$507,C68,Bills!$C$8:$C$507,F68)&gt;0)),"⚠ Bill not found – treated as on account",IF(F68="","✔ On account","✔")))))))</f>
        <v/>
      </c>
      <c r="J68" s="9" t="n">
        <f aca="false">IF(C68="",0,IF(F68="",N(D68),IF(COUNTIFS(Bills!$D$8:$D$507,C68,Bills!$C$8:$C$507,F68)&gt;0,0,N(D68))))</f>
        <v>0</v>
      </c>
    </row>
    <row r="69" customFormat="false" ht="15" hidden="false" customHeight="false" outlineLevel="0" collapsed="false">
      <c r="A69" s="40" t="str">
        <f aca="false">IF(C69="","",ROW()-7)</f>
        <v/>
      </c>
      <c r="B69" s="79"/>
      <c r="C69" s="76"/>
      <c r="D69" s="80"/>
      <c r="E69" s="78"/>
      <c r="F69" s="75"/>
      <c r="G69" s="75"/>
      <c r="H69" s="76"/>
      <c r="I69" s="50" t="str">
        <f aca="false">IF(AND(C69="",B69="",D69=""),"",IF(C69="","⚠ Pick supplier",IF(ISNA(MATCH(C69,Suppliers!$B$7:$B$106,0)),"⚠ Supplier not in list",IF(B69="","⚠ Enter date",IF(N(D69)&lt;=0,"⚠ Enter amount",IF(AND(F69&lt;&gt;"",NOT(COUNTIFS(Bills!$D$8:$D$507,C69,Bills!$C$8:$C$507,F69)&gt;0)),"⚠ Bill not found – treated as on account",IF(F69="","✔ On account","✔")))))))</f>
        <v/>
      </c>
      <c r="J69" s="9" t="n">
        <f aca="false">IF(C69="",0,IF(F69="",N(D69),IF(COUNTIFS(Bills!$D$8:$D$507,C69,Bills!$C$8:$C$507,F69)&gt;0,0,N(D69))))</f>
        <v>0</v>
      </c>
    </row>
    <row r="70" customFormat="false" ht="15" hidden="false" customHeight="false" outlineLevel="0" collapsed="false">
      <c r="A70" s="40" t="str">
        <f aca="false">IF(C70="","",ROW()-7)</f>
        <v/>
      </c>
      <c r="B70" s="79"/>
      <c r="C70" s="76"/>
      <c r="D70" s="80"/>
      <c r="E70" s="78"/>
      <c r="F70" s="75"/>
      <c r="G70" s="75"/>
      <c r="H70" s="76"/>
      <c r="I70" s="50" t="str">
        <f aca="false">IF(AND(C70="",B70="",D70=""),"",IF(C70="","⚠ Pick supplier",IF(ISNA(MATCH(C70,Suppliers!$B$7:$B$106,0)),"⚠ Supplier not in list",IF(B70="","⚠ Enter date",IF(N(D70)&lt;=0,"⚠ Enter amount",IF(AND(F70&lt;&gt;"",NOT(COUNTIFS(Bills!$D$8:$D$507,C70,Bills!$C$8:$C$507,F70)&gt;0)),"⚠ Bill not found – treated as on account",IF(F70="","✔ On account","✔")))))))</f>
        <v/>
      </c>
      <c r="J70" s="9" t="n">
        <f aca="false">IF(C70="",0,IF(F70="",N(D70),IF(COUNTIFS(Bills!$D$8:$D$507,C70,Bills!$C$8:$C$507,F70)&gt;0,0,N(D70))))</f>
        <v>0</v>
      </c>
    </row>
    <row r="71" customFormat="false" ht="15" hidden="false" customHeight="false" outlineLevel="0" collapsed="false">
      <c r="A71" s="40" t="str">
        <f aca="false">IF(C71="","",ROW()-7)</f>
        <v/>
      </c>
      <c r="B71" s="79"/>
      <c r="C71" s="76"/>
      <c r="D71" s="80"/>
      <c r="E71" s="78"/>
      <c r="F71" s="75"/>
      <c r="G71" s="75"/>
      <c r="H71" s="76"/>
      <c r="I71" s="50" t="str">
        <f aca="false">IF(AND(C71="",B71="",D71=""),"",IF(C71="","⚠ Pick supplier",IF(ISNA(MATCH(C71,Suppliers!$B$7:$B$106,0)),"⚠ Supplier not in list",IF(B71="","⚠ Enter date",IF(N(D71)&lt;=0,"⚠ Enter amount",IF(AND(F71&lt;&gt;"",NOT(COUNTIFS(Bills!$D$8:$D$507,C71,Bills!$C$8:$C$507,F71)&gt;0)),"⚠ Bill not found – treated as on account",IF(F71="","✔ On account","✔")))))))</f>
        <v/>
      </c>
      <c r="J71" s="9" t="n">
        <f aca="false">IF(C71="",0,IF(F71="",N(D71),IF(COUNTIFS(Bills!$D$8:$D$507,C71,Bills!$C$8:$C$507,F71)&gt;0,0,N(D71))))</f>
        <v>0</v>
      </c>
    </row>
    <row r="72" customFormat="false" ht="15" hidden="false" customHeight="false" outlineLevel="0" collapsed="false">
      <c r="A72" s="40" t="str">
        <f aca="false">IF(C72="","",ROW()-7)</f>
        <v/>
      </c>
      <c r="B72" s="79"/>
      <c r="C72" s="76"/>
      <c r="D72" s="80"/>
      <c r="E72" s="78"/>
      <c r="F72" s="75"/>
      <c r="G72" s="75"/>
      <c r="H72" s="76"/>
      <c r="I72" s="50" t="str">
        <f aca="false">IF(AND(C72="",B72="",D72=""),"",IF(C72="","⚠ Pick supplier",IF(ISNA(MATCH(C72,Suppliers!$B$7:$B$106,0)),"⚠ Supplier not in list",IF(B72="","⚠ Enter date",IF(N(D72)&lt;=0,"⚠ Enter amount",IF(AND(F72&lt;&gt;"",NOT(COUNTIFS(Bills!$D$8:$D$507,C72,Bills!$C$8:$C$507,F72)&gt;0)),"⚠ Bill not found – treated as on account",IF(F72="","✔ On account","✔")))))))</f>
        <v/>
      </c>
      <c r="J72" s="9" t="n">
        <f aca="false">IF(C72="",0,IF(F72="",N(D72),IF(COUNTIFS(Bills!$D$8:$D$507,C72,Bills!$C$8:$C$507,F72)&gt;0,0,N(D72))))</f>
        <v>0</v>
      </c>
    </row>
    <row r="73" customFormat="false" ht="15" hidden="false" customHeight="false" outlineLevel="0" collapsed="false">
      <c r="A73" s="40" t="str">
        <f aca="false">IF(C73="","",ROW()-7)</f>
        <v/>
      </c>
      <c r="B73" s="79"/>
      <c r="C73" s="76"/>
      <c r="D73" s="80"/>
      <c r="E73" s="78"/>
      <c r="F73" s="75"/>
      <c r="G73" s="75"/>
      <c r="H73" s="76"/>
      <c r="I73" s="50" t="str">
        <f aca="false">IF(AND(C73="",B73="",D73=""),"",IF(C73="","⚠ Pick supplier",IF(ISNA(MATCH(C73,Suppliers!$B$7:$B$106,0)),"⚠ Supplier not in list",IF(B73="","⚠ Enter date",IF(N(D73)&lt;=0,"⚠ Enter amount",IF(AND(F73&lt;&gt;"",NOT(COUNTIFS(Bills!$D$8:$D$507,C73,Bills!$C$8:$C$507,F73)&gt;0)),"⚠ Bill not found – treated as on account",IF(F73="","✔ On account","✔")))))))</f>
        <v/>
      </c>
      <c r="J73" s="9" t="n">
        <f aca="false">IF(C73="",0,IF(F73="",N(D73),IF(COUNTIFS(Bills!$D$8:$D$507,C73,Bills!$C$8:$C$507,F73)&gt;0,0,N(D73))))</f>
        <v>0</v>
      </c>
    </row>
    <row r="74" customFormat="false" ht="15" hidden="false" customHeight="false" outlineLevel="0" collapsed="false">
      <c r="A74" s="40" t="str">
        <f aca="false">IF(C74="","",ROW()-7)</f>
        <v/>
      </c>
      <c r="B74" s="79"/>
      <c r="C74" s="76"/>
      <c r="D74" s="80"/>
      <c r="E74" s="78"/>
      <c r="F74" s="75"/>
      <c r="G74" s="75"/>
      <c r="H74" s="76"/>
      <c r="I74" s="50" t="str">
        <f aca="false">IF(AND(C74="",B74="",D74=""),"",IF(C74="","⚠ Pick supplier",IF(ISNA(MATCH(C74,Suppliers!$B$7:$B$106,0)),"⚠ Supplier not in list",IF(B74="","⚠ Enter date",IF(N(D74)&lt;=0,"⚠ Enter amount",IF(AND(F74&lt;&gt;"",NOT(COUNTIFS(Bills!$D$8:$D$507,C74,Bills!$C$8:$C$507,F74)&gt;0)),"⚠ Bill not found – treated as on account",IF(F74="","✔ On account","✔")))))))</f>
        <v/>
      </c>
      <c r="J74" s="9" t="n">
        <f aca="false">IF(C74="",0,IF(F74="",N(D74),IF(COUNTIFS(Bills!$D$8:$D$507,C74,Bills!$C$8:$C$507,F74)&gt;0,0,N(D74))))</f>
        <v>0</v>
      </c>
    </row>
    <row r="75" customFormat="false" ht="15" hidden="false" customHeight="false" outlineLevel="0" collapsed="false">
      <c r="A75" s="40" t="str">
        <f aca="false">IF(C75="","",ROW()-7)</f>
        <v/>
      </c>
      <c r="B75" s="79"/>
      <c r="C75" s="76"/>
      <c r="D75" s="80"/>
      <c r="E75" s="78"/>
      <c r="F75" s="75"/>
      <c r="G75" s="75"/>
      <c r="H75" s="76"/>
      <c r="I75" s="50" t="str">
        <f aca="false">IF(AND(C75="",B75="",D75=""),"",IF(C75="","⚠ Pick supplier",IF(ISNA(MATCH(C75,Suppliers!$B$7:$B$106,0)),"⚠ Supplier not in list",IF(B75="","⚠ Enter date",IF(N(D75)&lt;=0,"⚠ Enter amount",IF(AND(F75&lt;&gt;"",NOT(COUNTIFS(Bills!$D$8:$D$507,C75,Bills!$C$8:$C$507,F75)&gt;0)),"⚠ Bill not found – treated as on account",IF(F75="","✔ On account","✔")))))))</f>
        <v/>
      </c>
      <c r="J75" s="9" t="n">
        <f aca="false">IF(C75="",0,IF(F75="",N(D75),IF(COUNTIFS(Bills!$D$8:$D$507,C75,Bills!$C$8:$C$507,F75)&gt;0,0,N(D75))))</f>
        <v>0</v>
      </c>
    </row>
    <row r="76" customFormat="false" ht="15" hidden="false" customHeight="false" outlineLevel="0" collapsed="false">
      <c r="A76" s="40" t="str">
        <f aca="false">IF(C76="","",ROW()-7)</f>
        <v/>
      </c>
      <c r="B76" s="79"/>
      <c r="C76" s="76"/>
      <c r="D76" s="80"/>
      <c r="E76" s="78"/>
      <c r="F76" s="75"/>
      <c r="G76" s="75"/>
      <c r="H76" s="76"/>
      <c r="I76" s="50" t="str">
        <f aca="false">IF(AND(C76="",B76="",D76=""),"",IF(C76="","⚠ Pick supplier",IF(ISNA(MATCH(C76,Suppliers!$B$7:$B$106,0)),"⚠ Supplier not in list",IF(B76="","⚠ Enter date",IF(N(D76)&lt;=0,"⚠ Enter amount",IF(AND(F76&lt;&gt;"",NOT(COUNTIFS(Bills!$D$8:$D$507,C76,Bills!$C$8:$C$507,F76)&gt;0)),"⚠ Bill not found – treated as on account",IF(F76="","✔ On account","✔")))))))</f>
        <v/>
      </c>
      <c r="J76" s="9" t="n">
        <f aca="false">IF(C76="",0,IF(F76="",N(D76),IF(COUNTIFS(Bills!$D$8:$D$507,C76,Bills!$C$8:$C$507,F76)&gt;0,0,N(D76))))</f>
        <v>0</v>
      </c>
    </row>
    <row r="77" customFormat="false" ht="15" hidden="false" customHeight="false" outlineLevel="0" collapsed="false">
      <c r="A77" s="40" t="str">
        <f aca="false">IF(C77="","",ROW()-7)</f>
        <v/>
      </c>
      <c r="B77" s="79"/>
      <c r="C77" s="76"/>
      <c r="D77" s="80"/>
      <c r="E77" s="78"/>
      <c r="F77" s="75"/>
      <c r="G77" s="75"/>
      <c r="H77" s="76"/>
      <c r="I77" s="50" t="str">
        <f aca="false">IF(AND(C77="",B77="",D77=""),"",IF(C77="","⚠ Pick supplier",IF(ISNA(MATCH(C77,Suppliers!$B$7:$B$106,0)),"⚠ Supplier not in list",IF(B77="","⚠ Enter date",IF(N(D77)&lt;=0,"⚠ Enter amount",IF(AND(F77&lt;&gt;"",NOT(COUNTIFS(Bills!$D$8:$D$507,C77,Bills!$C$8:$C$507,F77)&gt;0)),"⚠ Bill not found – treated as on account",IF(F77="","✔ On account","✔")))))))</f>
        <v/>
      </c>
      <c r="J77" s="9" t="n">
        <f aca="false">IF(C77="",0,IF(F77="",N(D77),IF(COUNTIFS(Bills!$D$8:$D$507,C77,Bills!$C$8:$C$507,F77)&gt;0,0,N(D77))))</f>
        <v>0</v>
      </c>
    </row>
    <row r="78" customFormat="false" ht="15" hidden="false" customHeight="false" outlineLevel="0" collapsed="false">
      <c r="A78" s="40" t="str">
        <f aca="false">IF(C78="","",ROW()-7)</f>
        <v/>
      </c>
      <c r="B78" s="79"/>
      <c r="C78" s="76"/>
      <c r="D78" s="80"/>
      <c r="E78" s="78"/>
      <c r="F78" s="75"/>
      <c r="G78" s="75"/>
      <c r="H78" s="76"/>
      <c r="I78" s="50" t="str">
        <f aca="false">IF(AND(C78="",B78="",D78=""),"",IF(C78="","⚠ Pick supplier",IF(ISNA(MATCH(C78,Suppliers!$B$7:$B$106,0)),"⚠ Supplier not in list",IF(B78="","⚠ Enter date",IF(N(D78)&lt;=0,"⚠ Enter amount",IF(AND(F78&lt;&gt;"",NOT(COUNTIFS(Bills!$D$8:$D$507,C78,Bills!$C$8:$C$507,F78)&gt;0)),"⚠ Bill not found – treated as on account",IF(F78="","✔ On account","✔")))))))</f>
        <v/>
      </c>
      <c r="J78" s="9" t="n">
        <f aca="false">IF(C78="",0,IF(F78="",N(D78),IF(COUNTIFS(Bills!$D$8:$D$507,C78,Bills!$C$8:$C$507,F78)&gt;0,0,N(D78))))</f>
        <v>0</v>
      </c>
    </row>
    <row r="79" customFormat="false" ht="15" hidden="false" customHeight="false" outlineLevel="0" collapsed="false">
      <c r="A79" s="40" t="str">
        <f aca="false">IF(C79="","",ROW()-7)</f>
        <v/>
      </c>
      <c r="B79" s="79"/>
      <c r="C79" s="76"/>
      <c r="D79" s="80"/>
      <c r="E79" s="78"/>
      <c r="F79" s="75"/>
      <c r="G79" s="75"/>
      <c r="H79" s="76"/>
      <c r="I79" s="50" t="str">
        <f aca="false">IF(AND(C79="",B79="",D79=""),"",IF(C79="","⚠ Pick supplier",IF(ISNA(MATCH(C79,Suppliers!$B$7:$B$106,0)),"⚠ Supplier not in list",IF(B79="","⚠ Enter date",IF(N(D79)&lt;=0,"⚠ Enter amount",IF(AND(F79&lt;&gt;"",NOT(COUNTIFS(Bills!$D$8:$D$507,C79,Bills!$C$8:$C$507,F79)&gt;0)),"⚠ Bill not found – treated as on account",IF(F79="","✔ On account","✔")))))))</f>
        <v/>
      </c>
      <c r="J79" s="9" t="n">
        <f aca="false">IF(C79="",0,IF(F79="",N(D79),IF(COUNTIFS(Bills!$D$8:$D$507,C79,Bills!$C$8:$C$507,F79)&gt;0,0,N(D79))))</f>
        <v>0</v>
      </c>
    </row>
    <row r="80" customFormat="false" ht="15" hidden="false" customHeight="false" outlineLevel="0" collapsed="false">
      <c r="A80" s="40" t="str">
        <f aca="false">IF(C80="","",ROW()-7)</f>
        <v/>
      </c>
      <c r="B80" s="79"/>
      <c r="C80" s="76"/>
      <c r="D80" s="80"/>
      <c r="E80" s="78"/>
      <c r="F80" s="75"/>
      <c r="G80" s="75"/>
      <c r="H80" s="76"/>
      <c r="I80" s="50" t="str">
        <f aca="false">IF(AND(C80="",B80="",D80=""),"",IF(C80="","⚠ Pick supplier",IF(ISNA(MATCH(C80,Suppliers!$B$7:$B$106,0)),"⚠ Supplier not in list",IF(B80="","⚠ Enter date",IF(N(D80)&lt;=0,"⚠ Enter amount",IF(AND(F80&lt;&gt;"",NOT(COUNTIFS(Bills!$D$8:$D$507,C80,Bills!$C$8:$C$507,F80)&gt;0)),"⚠ Bill not found – treated as on account",IF(F80="","✔ On account","✔")))))))</f>
        <v/>
      </c>
      <c r="J80" s="9" t="n">
        <f aca="false">IF(C80="",0,IF(F80="",N(D80),IF(COUNTIFS(Bills!$D$8:$D$507,C80,Bills!$C$8:$C$507,F80)&gt;0,0,N(D80))))</f>
        <v>0</v>
      </c>
    </row>
    <row r="81" customFormat="false" ht="15" hidden="false" customHeight="false" outlineLevel="0" collapsed="false">
      <c r="A81" s="40" t="str">
        <f aca="false">IF(C81="","",ROW()-7)</f>
        <v/>
      </c>
      <c r="B81" s="79"/>
      <c r="C81" s="76"/>
      <c r="D81" s="80"/>
      <c r="E81" s="78"/>
      <c r="F81" s="75"/>
      <c r="G81" s="75"/>
      <c r="H81" s="76"/>
      <c r="I81" s="50" t="str">
        <f aca="false">IF(AND(C81="",B81="",D81=""),"",IF(C81="","⚠ Pick supplier",IF(ISNA(MATCH(C81,Suppliers!$B$7:$B$106,0)),"⚠ Supplier not in list",IF(B81="","⚠ Enter date",IF(N(D81)&lt;=0,"⚠ Enter amount",IF(AND(F81&lt;&gt;"",NOT(COUNTIFS(Bills!$D$8:$D$507,C81,Bills!$C$8:$C$507,F81)&gt;0)),"⚠ Bill not found – treated as on account",IF(F81="","✔ On account","✔")))))))</f>
        <v/>
      </c>
      <c r="J81" s="9" t="n">
        <f aca="false">IF(C81="",0,IF(F81="",N(D81),IF(COUNTIFS(Bills!$D$8:$D$507,C81,Bills!$C$8:$C$507,F81)&gt;0,0,N(D81))))</f>
        <v>0</v>
      </c>
    </row>
    <row r="82" customFormat="false" ht="15" hidden="false" customHeight="false" outlineLevel="0" collapsed="false">
      <c r="A82" s="40" t="str">
        <f aca="false">IF(C82="","",ROW()-7)</f>
        <v/>
      </c>
      <c r="B82" s="79"/>
      <c r="C82" s="76"/>
      <c r="D82" s="80"/>
      <c r="E82" s="78"/>
      <c r="F82" s="75"/>
      <c r="G82" s="75"/>
      <c r="H82" s="76"/>
      <c r="I82" s="50" t="str">
        <f aca="false">IF(AND(C82="",B82="",D82=""),"",IF(C82="","⚠ Pick supplier",IF(ISNA(MATCH(C82,Suppliers!$B$7:$B$106,0)),"⚠ Supplier not in list",IF(B82="","⚠ Enter date",IF(N(D82)&lt;=0,"⚠ Enter amount",IF(AND(F82&lt;&gt;"",NOT(COUNTIFS(Bills!$D$8:$D$507,C82,Bills!$C$8:$C$507,F82)&gt;0)),"⚠ Bill not found – treated as on account",IF(F82="","✔ On account","✔")))))))</f>
        <v/>
      </c>
      <c r="J82" s="9" t="n">
        <f aca="false">IF(C82="",0,IF(F82="",N(D82),IF(COUNTIFS(Bills!$D$8:$D$507,C82,Bills!$C$8:$C$507,F82)&gt;0,0,N(D82))))</f>
        <v>0</v>
      </c>
    </row>
    <row r="83" customFormat="false" ht="15" hidden="false" customHeight="false" outlineLevel="0" collapsed="false">
      <c r="A83" s="40" t="str">
        <f aca="false">IF(C83="","",ROW()-7)</f>
        <v/>
      </c>
      <c r="B83" s="79"/>
      <c r="C83" s="76"/>
      <c r="D83" s="80"/>
      <c r="E83" s="78"/>
      <c r="F83" s="75"/>
      <c r="G83" s="75"/>
      <c r="H83" s="76"/>
      <c r="I83" s="50" t="str">
        <f aca="false">IF(AND(C83="",B83="",D83=""),"",IF(C83="","⚠ Pick supplier",IF(ISNA(MATCH(C83,Suppliers!$B$7:$B$106,0)),"⚠ Supplier not in list",IF(B83="","⚠ Enter date",IF(N(D83)&lt;=0,"⚠ Enter amount",IF(AND(F83&lt;&gt;"",NOT(COUNTIFS(Bills!$D$8:$D$507,C83,Bills!$C$8:$C$507,F83)&gt;0)),"⚠ Bill not found – treated as on account",IF(F83="","✔ On account","✔")))))))</f>
        <v/>
      </c>
      <c r="J83" s="9" t="n">
        <f aca="false">IF(C83="",0,IF(F83="",N(D83),IF(COUNTIFS(Bills!$D$8:$D$507,C83,Bills!$C$8:$C$507,F83)&gt;0,0,N(D83))))</f>
        <v>0</v>
      </c>
    </row>
    <row r="84" customFormat="false" ht="15" hidden="false" customHeight="false" outlineLevel="0" collapsed="false">
      <c r="A84" s="40" t="str">
        <f aca="false">IF(C84="","",ROW()-7)</f>
        <v/>
      </c>
      <c r="B84" s="79"/>
      <c r="C84" s="76"/>
      <c r="D84" s="80"/>
      <c r="E84" s="78"/>
      <c r="F84" s="75"/>
      <c r="G84" s="75"/>
      <c r="H84" s="76"/>
      <c r="I84" s="50" t="str">
        <f aca="false">IF(AND(C84="",B84="",D84=""),"",IF(C84="","⚠ Pick supplier",IF(ISNA(MATCH(C84,Suppliers!$B$7:$B$106,0)),"⚠ Supplier not in list",IF(B84="","⚠ Enter date",IF(N(D84)&lt;=0,"⚠ Enter amount",IF(AND(F84&lt;&gt;"",NOT(COUNTIFS(Bills!$D$8:$D$507,C84,Bills!$C$8:$C$507,F84)&gt;0)),"⚠ Bill not found – treated as on account",IF(F84="","✔ On account","✔")))))))</f>
        <v/>
      </c>
      <c r="J84" s="9" t="n">
        <f aca="false">IF(C84="",0,IF(F84="",N(D84),IF(COUNTIFS(Bills!$D$8:$D$507,C84,Bills!$C$8:$C$507,F84)&gt;0,0,N(D84))))</f>
        <v>0</v>
      </c>
    </row>
    <row r="85" customFormat="false" ht="15" hidden="false" customHeight="false" outlineLevel="0" collapsed="false">
      <c r="A85" s="40" t="str">
        <f aca="false">IF(C85="","",ROW()-7)</f>
        <v/>
      </c>
      <c r="B85" s="79"/>
      <c r="C85" s="76"/>
      <c r="D85" s="80"/>
      <c r="E85" s="78"/>
      <c r="F85" s="75"/>
      <c r="G85" s="75"/>
      <c r="H85" s="76"/>
      <c r="I85" s="50" t="str">
        <f aca="false">IF(AND(C85="",B85="",D85=""),"",IF(C85="","⚠ Pick supplier",IF(ISNA(MATCH(C85,Suppliers!$B$7:$B$106,0)),"⚠ Supplier not in list",IF(B85="","⚠ Enter date",IF(N(D85)&lt;=0,"⚠ Enter amount",IF(AND(F85&lt;&gt;"",NOT(COUNTIFS(Bills!$D$8:$D$507,C85,Bills!$C$8:$C$507,F85)&gt;0)),"⚠ Bill not found – treated as on account",IF(F85="","✔ On account","✔")))))))</f>
        <v/>
      </c>
      <c r="J85" s="9" t="n">
        <f aca="false">IF(C85="",0,IF(F85="",N(D85),IF(COUNTIFS(Bills!$D$8:$D$507,C85,Bills!$C$8:$C$507,F85)&gt;0,0,N(D85))))</f>
        <v>0</v>
      </c>
    </row>
    <row r="86" customFormat="false" ht="15" hidden="false" customHeight="false" outlineLevel="0" collapsed="false">
      <c r="A86" s="40" t="str">
        <f aca="false">IF(C86="","",ROW()-7)</f>
        <v/>
      </c>
      <c r="B86" s="79"/>
      <c r="C86" s="76"/>
      <c r="D86" s="80"/>
      <c r="E86" s="78"/>
      <c r="F86" s="75"/>
      <c r="G86" s="75"/>
      <c r="H86" s="76"/>
      <c r="I86" s="50" t="str">
        <f aca="false">IF(AND(C86="",B86="",D86=""),"",IF(C86="","⚠ Pick supplier",IF(ISNA(MATCH(C86,Suppliers!$B$7:$B$106,0)),"⚠ Supplier not in list",IF(B86="","⚠ Enter date",IF(N(D86)&lt;=0,"⚠ Enter amount",IF(AND(F86&lt;&gt;"",NOT(COUNTIFS(Bills!$D$8:$D$507,C86,Bills!$C$8:$C$507,F86)&gt;0)),"⚠ Bill not found – treated as on account",IF(F86="","✔ On account","✔")))))))</f>
        <v/>
      </c>
      <c r="J86" s="9" t="n">
        <f aca="false">IF(C86="",0,IF(F86="",N(D86),IF(COUNTIFS(Bills!$D$8:$D$507,C86,Bills!$C$8:$C$507,F86)&gt;0,0,N(D86))))</f>
        <v>0</v>
      </c>
    </row>
    <row r="87" customFormat="false" ht="15" hidden="false" customHeight="false" outlineLevel="0" collapsed="false">
      <c r="A87" s="40" t="str">
        <f aca="false">IF(C87="","",ROW()-7)</f>
        <v/>
      </c>
      <c r="B87" s="79"/>
      <c r="C87" s="76"/>
      <c r="D87" s="80"/>
      <c r="E87" s="78"/>
      <c r="F87" s="75"/>
      <c r="G87" s="75"/>
      <c r="H87" s="76"/>
      <c r="I87" s="50" t="str">
        <f aca="false">IF(AND(C87="",B87="",D87=""),"",IF(C87="","⚠ Pick supplier",IF(ISNA(MATCH(C87,Suppliers!$B$7:$B$106,0)),"⚠ Supplier not in list",IF(B87="","⚠ Enter date",IF(N(D87)&lt;=0,"⚠ Enter amount",IF(AND(F87&lt;&gt;"",NOT(COUNTIFS(Bills!$D$8:$D$507,C87,Bills!$C$8:$C$507,F87)&gt;0)),"⚠ Bill not found – treated as on account",IF(F87="","✔ On account","✔")))))))</f>
        <v/>
      </c>
      <c r="J87" s="9" t="n">
        <f aca="false">IF(C87="",0,IF(F87="",N(D87),IF(COUNTIFS(Bills!$D$8:$D$507,C87,Bills!$C$8:$C$507,F87)&gt;0,0,N(D87))))</f>
        <v>0</v>
      </c>
    </row>
    <row r="88" customFormat="false" ht="15" hidden="false" customHeight="false" outlineLevel="0" collapsed="false">
      <c r="A88" s="40" t="str">
        <f aca="false">IF(C88="","",ROW()-7)</f>
        <v/>
      </c>
      <c r="B88" s="79"/>
      <c r="C88" s="76"/>
      <c r="D88" s="80"/>
      <c r="E88" s="78"/>
      <c r="F88" s="75"/>
      <c r="G88" s="75"/>
      <c r="H88" s="76"/>
      <c r="I88" s="50" t="str">
        <f aca="false">IF(AND(C88="",B88="",D88=""),"",IF(C88="","⚠ Pick supplier",IF(ISNA(MATCH(C88,Suppliers!$B$7:$B$106,0)),"⚠ Supplier not in list",IF(B88="","⚠ Enter date",IF(N(D88)&lt;=0,"⚠ Enter amount",IF(AND(F88&lt;&gt;"",NOT(COUNTIFS(Bills!$D$8:$D$507,C88,Bills!$C$8:$C$507,F88)&gt;0)),"⚠ Bill not found – treated as on account",IF(F88="","✔ On account","✔")))))))</f>
        <v/>
      </c>
      <c r="J88" s="9" t="n">
        <f aca="false">IF(C88="",0,IF(F88="",N(D88),IF(COUNTIFS(Bills!$D$8:$D$507,C88,Bills!$C$8:$C$507,F88)&gt;0,0,N(D88))))</f>
        <v>0</v>
      </c>
    </row>
    <row r="89" customFormat="false" ht="15" hidden="false" customHeight="false" outlineLevel="0" collapsed="false">
      <c r="A89" s="40" t="str">
        <f aca="false">IF(C89="","",ROW()-7)</f>
        <v/>
      </c>
      <c r="B89" s="79"/>
      <c r="C89" s="76"/>
      <c r="D89" s="80"/>
      <c r="E89" s="78"/>
      <c r="F89" s="75"/>
      <c r="G89" s="75"/>
      <c r="H89" s="76"/>
      <c r="I89" s="50" t="str">
        <f aca="false">IF(AND(C89="",B89="",D89=""),"",IF(C89="","⚠ Pick supplier",IF(ISNA(MATCH(C89,Suppliers!$B$7:$B$106,0)),"⚠ Supplier not in list",IF(B89="","⚠ Enter date",IF(N(D89)&lt;=0,"⚠ Enter amount",IF(AND(F89&lt;&gt;"",NOT(COUNTIFS(Bills!$D$8:$D$507,C89,Bills!$C$8:$C$507,F89)&gt;0)),"⚠ Bill not found – treated as on account",IF(F89="","✔ On account","✔")))))))</f>
        <v/>
      </c>
      <c r="J89" s="9" t="n">
        <f aca="false">IF(C89="",0,IF(F89="",N(D89),IF(COUNTIFS(Bills!$D$8:$D$507,C89,Bills!$C$8:$C$507,F89)&gt;0,0,N(D89))))</f>
        <v>0</v>
      </c>
    </row>
    <row r="90" customFormat="false" ht="15" hidden="false" customHeight="false" outlineLevel="0" collapsed="false">
      <c r="A90" s="40" t="str">
        <f aca="false">IF(C90="","",ROW()-7)</f>
        <v/>
      </c>
      <c r="B90" s="79"/>
      <c r="C90" s="76"/>
      <c r="D90" s="80"/>
      <c r="E90" s="78"/>
      <c r="F90" s="75"/>
      <c r="G90" s="75"/>
      <c r="H90" s="76"/>
      <c r="I90" s="50" t="str">
        <f aca="false">IF(AND(C90="",B90="",D90=""),"",IF(C90="","⚠ Pick supplier",IF(ISNA(MATCH(C90,Suppliers!$B$7:$B$106,0)),"⚠ Supplier not in list",IF(B90="","⚠ Enter date",IF(N(D90)&lt;=0,"⚠ Enter amount",IF(AND(F90&lt;&gt;"",NOT(COUNTIFS(Bills!$D$8:$D$507,C90,Bills!$C$8:$C$507,F90)&gt;0)),"⚠ Bill not found – treated as on account",IF(F90="","✔ On account","✔")))))))</f>
        <v/>
      </c>
      <c r="J90" s="9" t="n">
        <f aca="false">IF(C90="",0,IF(F90="",N(D90),IF(COUNTIFS(Bills!$D$8:$D$507,C90,Bills!$C$8:$C$507,F90)&gt;0,0,N(D90))))</f>
        <v>0</v>
      </c>
    </row>
    <row r="91" customFormat="false" ht="15" hidden="false" customHeight="false" outlineLevel="0" collapsed="false">
      <c r="A91" s="40" t="str">
        <f aca="false">IF(C91="","",ROW()-7)</f>
        <v/>
      </c>
      <c r="B91" s="79"/>
      <c r="C91" s="76"/>
      <c r="D91" s="80"/>
      <c r="E91" s="78"/>
      <c r="F91" s="75"/>
      <c r="G91" s="75"/>
      <c r="H91" s="76"/>
      <c r="I91" s="50" t="str">
        <f aca="false">IF(AND(C91="",B91="",D91=""),"",IF(C91="","⚠ Pick supplier",IF(ISNA(MATCH(C91,Suppliers!$B$7:$B$106,0)),"⚠ Supplier not in list",IF(B91="","⚠ Enter date",IF(N(D91)&lt;=0,"⚠ Enter amount",IF(AND(F91&lt;&gt;"",NOT(COUNTIFS(Bills!$D$8:$D$507,C91,Bills!$C$8:$C$507,F91)&gt;0)),"⚠ Bill not found – treated as on account",IF(F91="","✔ On account","✔")))))))</f>
        <v/>
      </c>
      <c r="J91" s="9" t="n">
        <f aca="false">IF(C91="",0,IF(F91="",N(D91),IF(COUNTIFS(Bills!$D$8:$D$507,C91,Bills!$C$8:$C$507,F91)&gt;0,0,N(D91))))</f>
        <v>0</v>
      </c>
    </row>
    <row r="92" customFormat="false" ht="15" hidden="false" customHeight="false" outlineLevel="0" collapsed="false">
      <c r="A92" s="40" t="str">
        <f aca="false">IF(C92="","",ROW()-7)</f>
        <v/>
      </c>
      <c r="B92" s="79"/>
      <c r="C92" s="76"/>
      <c r="D92" s="80"/>
      <c r="E92" s="78"/>
      <c r="F92" s="75"/>
      <c r="G92" s="75"/>
      <c r="H92" s="76"/>
      <c r="I92" s="50" t="str">
        <f aca="false">IF(AND(C92="",B92="",D92=""),"",IF(C92="","⚠ Pick supplier",IF(ISNA(MATCH(C92,Suppliers!$B$7:$B$106,0)),"⚠ Supplier not in list",IF(B92="","⚠ Enter date",IF(N(D92)&lt;=0,"⚠ Enter amount",IF(AND(F92&lt;&gt;"",NOT(COUNTIFS(Bills!$D$8:$D$507,C92,Bills!$C$8:$C$507,F92)&gt;0)),"⚠ Bill not found – treated as on account",IF(F92="","✔ On account","✔")))))))</f>
        <v/>
      </c>
      <c r="J92" s="9" t="n">
        <f aca="false">IF(C92="",0,IF(F92="",N(D92),IF(COUNTIFS(Bills!$D$8:$D$507,C92,Bills!$C$8:$C$507,F92)&gt;0,0,N(D92))))</f>
        <v>0</v>
      </c>
    </row>
    <row r="93" customFormat="false" ht="15" hidden="false" customHeight="false" outlineLevel="0" collapsed="false">
      <c r="A93" s="40" t="str">
        <f aca="false">IF(C93="","",ROW()-7)</f>
        <v/>
      </c>
      <c r="B93" s="79"/>
      <c r="C93" s="76"/>
      <c r="D93" s="80"/>
      <c r="E93" s="78"/>
      <c r="F93" s="75"/>
      <c r="G93" s="75"/>
      <c r="H93" s="76"/>
      <c r="I93" s="50" t="str">
        <f aca="false">IF(AND(C93="",B93="",D93=""),"",IF(C93="","⚠ Pick supplier",IF(ISNA(MATCH(C93,Suppliers!$B$7:$B$106,0)),"⚠ Supplier not in list",IF(B93="","⚠ Enter date",IF(N(D93)&lt;=0,"⚠ Enter amount",IF(AND(F93&lt;&gt;"",NOT(COUNTIFS(Bills!$D$8:$D$507,C93,Bills!$C$8:$C$507,F93)&gt;0)),"⚠ Bill not found – treated as on account",IF(F93="","✔ On account","✔")))))))</f>
        <v/>
      </c>
      <c r="J93" s="9" t="n">
        <f aca="false">IF(C93="",0,IF(F93="",N(D93),IF(COUNTIFS(Bills!$D$8:$D$507,C93,Bills!$C$8:$C$507,F93)&gt;0,0,N(D93))))</f>
        <v>0</v>
      </c>
    </row>
    <row r="94" customFormat="false" ht="15" hidden="false" customHeight="false" outlineLevel="0" collapsed="false">
      <c r="A94" s="40" t="str">
        <f aca="false">IF(C94="","",ROW()-7)</f>
        <v/>
      </c>
      <c r="B94" s="79"/>
      <c r="C94" s="76"/>
      <c r="D94" s="80"/>
      <c r="E94" s="78"/>
      <c r="F94" s="75"/>
      <c r="G94" s="75"/>
      <c r="H94" s="76"/>
      <c r="I94" s="50" t="str">
        <f aca="false">IF(AND(C94="",B94="",D94=""),"",IF(C94="","⚠ Pick supplier",IF(ISNA(MATCH(C94,Suppliers!$B$7:$B$106,0)),"⚠ Supplier not in list",IF(B94="","⚠ Enter date",IF(N(D94)&lt;=0,"⚠ Enter amount",IF(AND(F94&lt;&gt;"",NOT(COUNTIFS(Bills!$D$8:$D$507,C94,Bills!$C$8:$C$507,F94)&gt;0)),"⚠ Bill not found – treated as on account",IF(F94="","✔ On account","✔")))))))</f>
        <v/>
      </c>
      <c r="J94" s="9" t="n">
        <f aca="false">IF(C94="",0,IF(F94="",N(D94),IF(COUNTIFS(Bills!$D$8:$D$507,C94,Bills!$C$8:$C$507,F94)&gt;0,0,N(D94))))</f>
        <v>0</v>
      </c>
    </row>
    <row r="95" customFormat="false" ht="15" hidden="false" customHeight="false" outlineLevel="0" collapsed="false">
      <c r="A95" s="40" t="str">
        <f aca="false">IF(C95="","",ROW()-7)</f>
        <v/>
      </c>
      <c r="B95" s="79"/>
      <c r="C95" s="76"/>
      <c r="D95" s="80"/>
      <c r="E95" s="78"/>
      <c r="F95" s="75"/>
      <c r="G95" s="75"/>
      <c r="H95" s="76"/>
      <c r="I95" s="50" t="str">
        <f aca="false">IF(AND(C95="",B95="",D95=""),"",IF(C95="","⚠ Pick supplier",IF(ISNA(MATCH(C95,Suppliers!$B$7:$B$106,0)),"⚠ Supplier not in list",IF(B95="","⚠ Enter date",IF(N(D95)&lt;=0,"⚠ Enter amount",IF(AND(F95&lt;&gt;"",NOT(COUNTIFS(Bills!$D$8:$D$507,C95,Bills!$C$8:$C$507,F95)&gt;0)),"⚠ Bill not found – treated as on account",IF(F95="","✔ On account","✔")))))))</f>
        <v/>
      </c>
      <c r="J95" s="9" t="n">
        <f aca="false">IF(C95="",0,IF(F95="",N(D95),IF(COUNTIFS(Bills!$D$8:$D$507,C95,Bills!$C$8:$C$507,F95)&gt;0,0,N(D95))))</f>
        <v>0</v>
      </c>
    </row>
    <row r="96" customFormat="false" ht="15" hidden="false" customHeight="false" outlineLevel="0" collapsed="false">
      <c r="A96" s="40" t="str">
        <f aca="false">IF(C96="","",ROW()-7)</f>
        <v/>
      </c>
      <c r="B96" s="79"/>
      <c r="C96" s="76"/>
      <c r="D96" s="80"/>
      <c r="E96" s="78"/>
      <c r="F96" s="75"/>
      <c r="G96" s="75"/>
      <c r="H96" s="76"/>
      <c r="I96" s="50" t="str">
        <f aca="false">IF(AND(C96="",B96="",D96=""),"",IF(C96="","⚠ Pick supplier",IF(ISNA(MATCH(C96,Suppliers!$B$7:$B$106,0)),"⚠ Supplier not in list",IF(B96="","⚠ Enter date",IF(N(D96)&lt;=0,"⚠ Enter amount",IF(AND(F96&lt;&gt;"",NOT(COUNTIFS(Bills!$D$8:$D$507,C96,Bills!$C$8:$C$507,F96)&gt;0)),"⚠ Bill not found – treated as on account",IF(F96="","✔ On account","✔")))))))</f>
        <v/>
      </c>
      <c r="J96" s="9" t="n">
        <f aca="false">IF(C96="",0,IF(F96="",N(D96),IF(COUNTIFS(Bills!$D$8:$D$507,C96,Bills!$C$8:$C$507,F96)&gt;0,0,N(D96))))</f>
        <v>0</v>
      </c>
    </row>
    <row r="97" customFormat="false" ht="15" hidden="false" customHeight="false" outlineLevel="0" collapsed="false">
      <c r="A97" s="40" t="str">
        <f aca="false">IF(C97="","",ROW()-7)</f>
        <v/>
      </c>
      <c r="B97" s="79"/>
      <c r="C97" s="76"/>
      <c r="D97" s="80"/>
      <c r="E97" s="78"/>
      <c r="F97" s="75"/>
      <c r="G97" s="75"/>
      <c r="H97" s="76"/>
      <c r="I97" s="50" t="str">
        <f aca="false">IF(AND(C97="",B97="",D97=""),"",IF(C97="","⚠ Pick supplier",IF(ISNA(MATCH(C97,Suppliers!$B$7:$B$106,0)),"⚠ Supplier not in list",IF(B97="","⚠ Enter date",IF(N(D97)&lt;=0,"⚠ Enter amount",IF(AND(F97&lt;&gt;"",NOT(COUNTIFS(Bills!$D$8:$D$507,C97,Bills!$C$8:$C$507,F97)&gt;0)),"⚠ Bill not found – treated as on account",IF(F97="","✔ On account","✔")))))))</f>
        <v/>
      </c>
      <c r="J97" s="9" t="n">
        <f aca="false">IF(C97="",0,IF(F97="",N(D97),IF(COUNTIFS(Bills!$D$8:$D$507,C97,Bills!$C$8:$C$507,F97)&gt;0,0,N(D97))))</f>
        <v>0</v>
      </c>
    </row>
    <row r="98" customFormat="false" ht="15" hidden="false" customHeight="false" outlineLevel="0" collapsed="false">
      <c r="A98" s="40" t="str">
        <f aca="false">IF(C98="","",ROW()-7)</f>
        <v/>
      </c>
      <c r="B98" s="79"/>
      <c r="C98" s="76"/>
      <c r="D98" s="80"/>
      <c r="E98" s="78"/>
      <c r="F98" s="75"/>
      <c r="G98" s="75"/>
      <c r="H98" s="76"/>
      <c r="I98" s="50" t="str">
        <f aca="false">IF(AND(C98="",B98="",D98=""),"",IF(C98="","⚠ Pick supplier",IF(ISNA(MATCH(C98,Suppliers!$B$7:$B$106,0)),"⚠ Supplier not in list",IF(B98="","⚠ Enter date",IF(N(D98)&lt;=0,"⚠ Enter amount",IF(AND(F98&lt;&gt;"",NOT(COUNTIFS(Bills!$D$8:$D$507,C98,Bills!$C$8:$C$507,F98)&gt;0)),"⚠ Bill not found – treated as on account",IF(F98="","✔ On account","✔")))))))</f>
        <v/>
      </c>
      <c r="J98" s="9" t="n">
        <f aca="false">IF(C98="",0,IF(F98="",N(D98),IF(COUNTIFS(Bills!$D$8:$D$507,C98,Bills!$C$8:$C$507,F98)&gt;0,0,N(D98))))</f>
        <v>0</v>
      </c>
    </row>
    <row r="99" customFormat="false" ht="15" hidden="false" customHeight="false" outlineLevel="0" collapsed="false">
      <c r="A99" s="40" t="str">
        <f aca="false">IF(C99="","",ROW()-7)</f>
        <v/>
      </c>
      <c r="B99" s="79"/>
      <c r="C99" s="76"/>
      <c r="D99" s="80"/>
      <c r="E99" s="78"/>
      <c r="F99" s="75"/>
      <c r="G99" s="75"/>
      <c r="H99" s="76"/>
      <c r="I99" s="50" t="str">
        <f aca="false">IF(AND(C99="",B99="",D99=""),"",IF(C99="","⚠ Pick supplier",IF(ISNA(MATCH(C99,Suppliers!$B$7:$B$106,0)),"⚠ Supplier not in list",IF(B99="","⚠ Enter date",IF(N(D99)&lt;=0,"⚠ Enter amount",IF(AND(F99&lt;&gt;"",NOT(COUNTIFS(Bills!$D$8:$D$507,C99,Bills!$C$8:$C$507,F99)&gt;0)),"⚠ Bill not found – treated as on account",IF(F99="","✔ On account","✔")))))))</f>
        <v/>
      </c>
      <c r="J99" s="9" t="n">
        <f aca="false">IF(C99="",0,IF(F99="",N(D99),IF(COUNTIFS(Bills!$D$8:$D$507,C99,Bills!$C$8:$C$507,F99)&gt;0,0,N(D99))))</f>
        <v>0</v>
      </c>
    </row>
    <row r="100" customFormat="false" ht="15" hidden="false" customHeight="false" outlineLevel="0" collapsed="false">
      <c r="A100" s="40" t="str">
        <f aca="false">IF(C100="","",ROW()-7)</f>
        <v/>
      </c>
      <c r="B100" s="79"/>
      <c r="C100" s="76"/>
      <c r="D100" s="80"/>
      <c r="E100" s="78"/>
      <c r="F100" s="75"/>
      <c r="G100" s="75"/>
      <c r="H100" s="76"/>
      <c r="I100" s="50" t="str">
        <f aca="false">IF(AND(C100="",B100="",D100=""),"",IF(C100="","⚠ Pick supplier",IF(ISNA(MATCH(C100,Suppliers!$B$7:$B$106,0)),"⚠ Supplier not in list",IF(B100="","⚠ Enter date",IF(N(D100)&lt;=0,"⚠ Enter amount",IF(AND(F100&lt;&gt;"",NOT(COUNTIFS(Bills!$D$8:$D$507,C100,Bills!$C$8:$C$507,F100)&gt;0)),"⚠ Bill not found – treated as on account",IF(F100="","✔ On account","✔")))))))</f>
        <v/>
      </c>
      <c r="J100" s="9" t="n">
        <f aca="false">IF(C100="",0,IF(F100="",N(D100),IF(COUNTIFS(Bills!$D$8:$D$507,C100,Bills!$C$8:$C$507,F100)&gt;0,0,N(D100))))</f>
        <v>0</v>
      </c>
    </row>
    <row r="101" customFormat="false" ht="15" hidden="false" customHeight="false" outlineLevel="0" collapsed="false">
      <c r="A101" s="40" t="str">
        <f aca="false">IF(C101="","",ROW()-7)</f>
        <v/>
      </c>
      <c r="B101" s="79"/>
      <c r="C101" s="76"/>
      <c r="D101" s="80"/>
      <c r="E101" s="78"/>
      <c r="F101" s="75"/>
      <c r="G101" s="75"/>
      <c r="H101" s="76"/>
      <c r="I101" s="50" t="str">
        <f aca="false">IF(AND(C101="",B101="",D101=""),"",IF(C101="","⚠ Pick supplier",IF(ISNA(MATCH(C101,Suppliers!$B$7:$B$106,0)),"⚠ Supplier not in list",IF(B101="","⚠ Enter date",IF(N(D101)&lt;=0,"⚠ Enter amount",IF(AND(F101&lt;&gt;"",NOT(COUNTIFS(Bills!$D$8:$D$507,C101,Bills!$C$8:$C$507,F101)&gt;0)),"⚠ Bill not found – treated as on account",IF(F101="","✔ On account","✔")))))))</f>
        <v/>
      </c>
      <c r="J101" s="9" t="n">
        <f aca="false">IF(C101="",0,IF(F101="",N(D101),IF(COUNTIFS(Bills!$D$8:$D$507,C101,Bills!$C$8:$C$507,F101)&gt;0,0,N(D101))))</f>
        <v>0</v>
      </c>
    </row>
    <row r="102" customFormat="false" ht="15" hidden="false" customHeight="false" outlineLevel="0" collapsed="false">
      <c r="A102" s="40" t="str">
        <f aca="false">IF(C102="","",ROW()-7)</f>
        <v/>
      </c>
      <c r="B102" s="79"/>
      <c r="C102" s="76"/>
      <c r="D102" s="80"/>
      <c r="E102" s="78"/>
      <c r="F102" s="75"/>
      <c r="G102" s="75"/>
      <c r="H102" s="76"/>
      <c r="I102" s="50" t="str">
        <f aca="false">IF(AND(C102="",B102="",D102=""),"",IF(C102="","⚠ Pick supplier",IF(ISNA(MATCH(C102,Suppliers!$B$7:$B$106,0)),"⚠ Supplier not in list",IF(B102="","⚠ Enter date",IF(N(D102)&lt;=0,"⚠ Enter amount",IF(AND(F102&lt;&gt;"",NOT(COUNTIFS(Bills!$D$8:$D$507,C102,Bills!$C$8:$C$507,F102)&gt;0)),"⚠ Bill not found – treated as on account",IF(F102="","✔ On account","✔")))))))</f>
        <v/>
      </c>
      <c r="J102" s="9" t="n">
        <f aca="false">IF(C102="",0,IF(F102="",N(D102),IF(COUNTIFS(Bills!$D$8:$D$507,C102,Bills!$C$8:$C$507,F102)&gt;0,0,N(D102))))</f>
        <v>0</v>
      </c>
    </row>
    <row r="103" customFormat="false" ht="15" hidden="false" customHeight="false" outlineLevel="0" collapsed="false">
      <c r="A103" s="40" t="str">
        <f aca="false">IF(C103="","",ROW()-7)</f>
        <v/>
      </c>
      <c r="B103" s="79"/>
      <c r="C103" s="76"/>
      <c r="D103" s="80"/>
      <c r="E103" s="78"/>
      <c r="F103" s="75"/>
      <c r="G103" s="75"/>
      <c r="H103" s="76"/>
      <c r="I103" s="50" t="str">
        <f aca="false">IF(AND(C103="",B103="",D103=""),"",IF(C103="","⚠ Pick supplier",IF(ISNA(MATCH(C103,Suppliers!$B$7:$B$106,0)),"⚠ Supplier not in list",IF(B103="","⚠ Enter date",IF(N(D103)&lt;=0,"⚠ Enter amount",IF(AND(F103&lt;&gt;"",NOT(COUNTIFS(Bills!$D$8:$D$507,C103,Bills!$C$8:$C$507,F103)&gt;0)),"⚠ Bill not found – treated as on account",IF(F103="","✔ On account","✔")))))))</f>
        <v/>
      </c>
      <c r="J103" s="9" t="n">
        <f aca="false">IF(C103="",0,IF(F103="",N(D103),IF(COUNTIFS(Bills!$D$8:$D$507,C103,Bills!$C$8:$C$507,F103)&gt;0,0,N(D103))))</f>
        <v>0</v>
      </c>
    </row>
    <row r="104" customFormat="false" ht="15" hidden="false" customHeight="false" outlineLevel="0" collapsed="false">
      <c r="A104" s="40" t="str">
        <f aca="false">IF(C104="","",ROW()-7)</f>
        <v/>
      </c>
      <c r="B104" s="79"/>
      <c r="C104" s="76"/>
      <c r="D104" s="80"/>
      <c r="E104" s="78"/>
      <c r="F104" s="75"/>
      <c r="G104" s="75"/>
      <c r="H104" s="76"/>
      <c r="I104" s="50" t="str">
        <f aca="false">IF(AND(C104="",B104="",D104=""),"",IF(C104="","⚠ Pick supplier",IF(ISNA(MATCH(C104,Suppliers!$B$7:$B$106,0)),"⚠ Supplier not in list",IF(B104="","⚠ Enter date",IF(N(D104)&lt;=0,"⚠ Enter amount",IF(AND(F104&lt;&gt;"",NOT(COUNTIFS(Bills!$D$8:$D$507,C104,Bills!$C$8:$C$507,F104)&gt;0)),"⚠ Bill not found – treated as on account",IF(F104="","✔ On account","✔")))))))</f>
        <v/>
      </c>
      <c r="J104" s="9" t="n">
        <f aca="false">IF(C104="",0,IF(F104="",N(D104),IF(COUNTIFS(Bills!$D$8:$D$507,C104,Bills!$C$8:$C$507,F104)&gt;0,0,N(D104))))</f>
        <v>0</v>
      </c>
    </row>
    <row r="105" customFormat="false" ht="15" hidden="false" customHeight="false" outlineLevel="0" collapsed="false">
      <c r="A105" s="40" t="str">
        <f aca="false">IF(C105="","",ROW()-7)</f>
        <v/>
      </c>
      <c r="B105" s="79"/>
      <c r="C105" s="76"/>
      <c r="D105" s="80"/>
      <c r="E105" s="78"/>
      <c r="F105" s="75"/>
      <c r="G105" s="75"/>
      <c r="H105" s="76"/>
      <c r="I105" s="50" t="str">
        <f aca="false">IF(AND(C105="",B105="",D105=""),"",IF(C105="","⚠ Pick supplier",IF(ISNA(MATCH(C105,Suppliers!$B$7:$B$106,0)),"⚠ Supplier not in list",IF(B105="","⚠ Enter date",IF(N(D105)&lt;=0,"⚠ Enter amount",IF(AND(F105&lt;&gt;"",NOT(COUNTIFS(Bills!$D$8:$D$507,C105,Bills!$C$8:$C$507,F105)&gt;0)),"⚠ Bill not found – treated as on account",IF(F105="","✔ On account","✔")))))))</f>
        <v/>
      </c>
      <c r="J105" s="9" t="n">
        <f aca="false">IF(C105="",0,IF(F105="",N(D105),IF(COUNTIFS(Bills!$D$8:$D$507,C105,Bills!$C$8:$C$507,F105)&gt;0,0,N(D105))))</f>
        <v>0</v>
      </c>
    </row>
    <row r="106" customFormat="false" ht="15" hidden="false" customHeight="false" outlineLevel="0" collapsed="false">
      <c r="A106" s="40" t="str">
        <f aca="false">IF(C106="","",ROW()-7)</f>
        <v/>
      </c>
      <c r="B106" s="79"/>
      <c r="C106" s="76"/>
      <c r="D106" s="80"/>
      <c r="E106" s="78"/>
      <c r="F106" s="75"/>
      <c r="G106" s="75"/>
      <c r="H106" s="76"/>
      <c r="I106" s="50" t="str">
        <f aca="false">IF(AND(C106="",B106="",D106=""),"",IF(C106="","⚠ Pick supplier",IF(ISNA(MATCH(C106,Suppliers!$B$7:$B$106,0)),"⚠ Supplier not in list",IF(B106="","⚠ Enter date",IF(N(D106)&lt;=0,"⚠ Enter amount",IF(AND(F106&lt;&gt;"",NOT(COUNTIFS(Bills!$D$8:$D$507,C106,Bills!$C$8:$C$507,F106)&gt;0)),"⚠ Bill not found – treated as on account",IF(F106="","✔ On account","✔")))))))</f>
        <v/>
      </c>
      <c r="J106" s="9" t="n">
        <f aca="false">IF(C106="",0,IF(F106="",N(D106),IF(COUNTIFS(Bills!$D$8:$D$507,C106,Bills!$C$8:$C$507,F106)&gt;0,0,N(D106))))</f>
        <v>0</v>
      </c>
    </row>
    <row r="107" customFormat="false" ht="15" hidden="false" customHeight="false" outlineLevel="0" collapsed="false">
      <c r="A107" s="40" t="str">
        <f aca="false">IF(C107="","",ROW()-7)</f>
        <v/>
      </c>
      <c r="B107" s="79"/>
      <c r="C107" s="76"/>
      <c r="D107" s="80"/>
      <c r="E107" s="78"/>
      <c r="F107" s="75"/>
      <c r="G107" s="75"/>
      <c r="H107" s="76"/>
      <c r="I107" s="50" t="str">
        <f aca="false">IF(AND(C107="",B107="",D107=""),"",IF(C107="","⚠ Pick supplier",IF(ISNA(MATCH(C107,Suppliers!$B$7:$B$106,0)),"⚠ Supplier not in list",IF(B107="","⚠ Enter date",IF(N(D107)&lt;=0,"⚠ Enter amount",IF(AND(F107&lt;&gt;"",NOT(COUNTIFS(Bills!$D$8:$D$507,C107,Bills!$C$8:$C$507,F107)&gt;0)),"⚠ Bill not found – treated as on account",IF(F107="","✔ On account","✔")))))))</f>
        <v/>
      </c>
      <c r="J107" s="9" t="n">
        <f aca="false">IF(C107="",0,IF(F107="",N(D107),IF(COUNTIFS(Bills!$D$8:$D$507,C107,Bills!$C$8:$C$507,F107)&gt;0,0,N(D107))))</f>
        <v>0</v>
      </c>
    </row>
    <row r="108" customFormat="false" ht="15" hidden="false" customHeight="false" outlineLevel="0" collapsed="false">
      <c r="A108" s="40" t="str">
        <f aca="false">IF(C108="","",ROW()-7)</f>
        <v/>
      </c>
      <c r="B108" s="79"/>
      <c r="C108" s="76"/>
      <c r="D108" s="80"/>
      <c r="E108" s="78"/>
      <c r="F108" s="75"/>
      <c r="G108" s="75"/>
      <c r="H108" s="76"/>
      <c r="I108" s="50" t="str">
        <f aca="false">IF(AND(C108="",B108="",D108=""),"",IF(C108="","⚠ Pick supplier",IF(ISNA(MATCH(C108,Suppliers!$B$7:$B$106,0)),"⚠ Supplier not in list",IF(B108="","⚠ Enter date",IF(N(D108)&lt;=0,"⚠ Enter amount",IF(AND(F108&lt;&gt;"",NOT(COUNTIFS(Bills!$D$8:$D$507,C108,Bills!$C$8:$C$507,F108)&gt;0)),"⚠ Bill not found – treated as on account",IF(F108="","✔ On account","✔")))))))</f>
        <v/>
      </c>
      <c r="J108" s="9" t="n">
        <f aca="false">IF(C108="",0,IF(F108="",N(D108),IF(COUNTIFS(Bills!$D$8:$D$507,C108,Bills!$C$8:$C$507,F108)&gt;0,0,N(D108))))</f>
        <v>0</v>
      </c>
    </row>
    <row r="109" customFormat="false" ht="15" hidden="false" customHeight="false" outlineLevel="0" collapsed="false">
      <c r="A109" s="40" t="str">
        <f aca="false">IF(C109="","",ROW()-7)</f>
        <v/>
      </c>
      <c r="B109" s="79"/>
      <c r="C109" s="76"/>
      <c r="D109" s="80"/>
      <c r="E109" s="78"/>
      <c r="F109" s="75"/>
      <c r="G109" s="75"/>
      <c r="H109" s="76"/>
      <c r="I109" s="50" t="str">
        <f aca="false">IF(AND(C109="",B109="",D109=""),"",IF(C109="","⚠ Pick supplier",IF(ISNA(MATCH(C109,Suppliers!$B$7:$B$106,0)),"⚠ Supplier not in list",IF(B109="","⚠ Enter date",IF(N(D109)&lt;=0,"⚠ Enter amount",IF(AND(F109&lt;&gt;"",NOT(COUNTIFS(Bills!$D$8:$D$507,C109,Bills!$C$8:$C$507,F109)&gt;0)),"⚠ Bill not found – treated as on account",IF(F109="","✔ On account","✔")))))))</f>
        <v/>
      </c>
      <c r="J109" s="9" t="n">
        <f aca="false">IF(C109="",0,IF(F109="",N(D109),IF(COUNTIFS(Bills!$D$8:$D$507,C109,Bills!$C$8:$C$507,F109)&gt;0,0,N(D109))))</f>
        <v>0</v>
      </c>
    </row>
    <row r="110" customFormat="false" ht="15" hidden="false" customHeight="false" outlineLevel="0" collapsed="false">
      <c r="A110" s="40" t="str">
        <f aca="false">IF(C110="","",ROW()-7)</f>
        <v/>
      </c>
      <c r="B110" s="79"/>
      <c r="C110" s="76"/>
      <c r="D110" s="80"/>
      <c r="E110" s="78"/>
      <c r="F110" s="75"/>
      <c r="G110" s="75"/>
      <c r="H110" s="76"/>
      <c r="I110" s="50" t="str">
        <f aca="false">IF(AND(C110="",B110="",D110=""),"",IF(C110="","⚠ Pick supplier",IF(ISNA(MATCH(C110,Suppliers!$B$7:$B$106,0)),"⚠ Supplier not in list",IF(B110="","⚠ Enter date",IF(N(D110)&lt;=0,"⚠ Enter amount",IF(AND(F110&lt;&gt;"",NOT(COUNTIFS(Bills!$D$8:$D$507,C110,Bills!$C$8:$C$507,F110)&gt;0)),"⚠ Bill not found – treated as on account",IF(F110="","✔ On account","✔")))))))</f>
        <v/>
      </c>
      <c r="J110" s="9" t="n">
        <f aca="false">IF(C110="",0,IF(F110="",N(D110),IF(COUNTIFS(Bills!$D$8:$D$507,C110,Bills!$C$8:$C$507,F110)&gt;0,0,N(D110))))</f>
        <v>0</v>
      </c>
    </row>
    <row r="111" customFormat="false" ht="15" hidden="false" customHeight="false" outlineLevel="0" collapsed="false">
      <c r="A111" s="40" t="str">
        <f aca="false">IF(C111="","",ROW()-7)</f>
        <v/>
      </c>
      <c r="B111" s="79"/>
      <c r="C111" s="76"/>
      <c r="D111" s="80"/>
      <c r="E111" s="78"/>
      <c r="F111" s="75"/>
      <c r="G111" s="75"/>
      <c r="H111" s="76"/>
      <c r="I111" s="50" t="str">
        <f aca="false">IF(AND(C111="",B111="",D111=""),"",IF(C111="","⚠ Pick supplier",IF(ISNA(MATCH(C111,Suppliers!$B$7:$B$106,0)),"⚠ Supplier not in list",IF(B111="","⚠ Enter date",IF(N(D111)&lt;=0,"⚠ Enter amount",IF(AND(F111&lt;&gt;"",NOT(COUNTIFS(Bills!$D$8:$D$507,C111,Bills!$C$8:$C$507,F111)&gt;0)),"⚠ Bill not found – treated as on account",IF(F111="","✔ On account","✔")))))))</f>
        <v/>
      </c>
      <c r="J111" s="9" t="n">
        <f aca="false">IF(C111="",0,IF(F111="",N(D111),IF(COUNTIFS(Bills!$D$8:$D$507,C111,Bills!$C$8:$C$507,F111)&gt;0,0,N(D111))))</f>
        <v>0</v>
      </c>
    </row>
    <row r="112" customFormat="false" ht="15" hidden="false" customHeight="false" outlineLevel="0" collapsed="false">
      <c r="A112" s="40" t="str">
        <f aca="false">IF(C112="","",ROW()-7)</f>
        <v/>
      </c>
      <c r="B112" s="79"/>
      <c r="C112" s="76"/>
      <c r="D112" s="80"/>
      <c r="E112" s="78"/>
      <c r="F112" s="75"/>
      <c r="G112" s="75"/>
      <c r="H112" s="76"/>
      <c r="I112" s="50" t="str">
        <f aca="false">IF(AND(C112="",B112="",D112=""),"",IF(C112="","⚠ Pick supplier",IF(ISNA(MATCH(C112,Suppliers!$B$7:$B$106,0)),"⚠ Supplier not in list",IF(B112="","⚠ Enter date",IF(N(D112)&lt;=0,"⚠ Enter amount",IF(AND(F112&lt;&gt;"",NOT(COUNTIFS(Bills!$D$8:$D$507,C112,Bills!$C$8:$C$507,F112)&gt;0)),"⚠ Bill not found – treated as on account",IF(F112="","✔ On account","✔")))))))</f>
        <v/>
      </c>
      <c r="J112" s="9" t="n">
        <f aca="false">IF(C112="",0,IF(F112="",N(D112),IF(COUNTIFS(Bills!$D$8:$D$507,C112,Bills!$C$8:$C$507,F112)&gt;0,0,N(D112))))</f>
        <v>0</v>
      </c>
    </row>
    <row r="113" customFormat="false" ht="15" hidden="false" customHeight="false" outlineLevel="0" collapsed="false">
      <c r="A113" s="40" t="str">
        <f aca="false">IF(C113="","",ROW()-7)</f>
        <v/>
      </c>
      <c r="B113" s="79"/>
      <c r="C113" s="76"/>
      <c r="D113" s="80"/>
      <c r="E113" s="78"/>
      <c r="F113" s="75"/>
      <c r="G113" s="75"/>
      <c r="H113" s="76"/>
      <c r="I113" s="50" t="str">
        <f aca="false">IF(AND(C113="",B113="",D113=""),"",IF(C113="","⚠ Pick supplier",IF(ISNA(MATCH(C113,Suppliers!$B$7:$B$106,0)),"⚠ Supplier not in list",IF(B113="","⚠ Enter date",IF(N(D113)&lt;=0,"⚠ Enter amount",IF(AND(F113&lt;&gt;"",NOT(COUNTIFS(Bills!$D$8:$D$507,C113,Bills!$C$8:$C$507,F113)&gt;0)),"⚠ Bill not found – treated as on account",IF(F113="","✔ On account","✔")))))))</f>
        <v/>
      </c>
      <c r="J113" s="9" t="n">
        <f aca="false">IF(C113="",0,IF(F113="",N(D113),IF(COUNTIFS(Bills!$D$8:$D$507,C113,Bills!$C$8:$C$507,F113)&gt;0,0,N(D113))))</f>
        <v>0</v>
      </c>
    </row>
    <row r="114" customFormat="false" ht="15" hidden="false" customHeight="false" outlineLevel="0" collapsed="false">
      <c r="A114" s="40" t="str">
        <f aca="false">IF(C114="","",ROW()-7)</f>
        <v/>
      </c>
      <c r="B114" s="79"/>
      <c r="C114" s="76"/>
      <c r="D114" s="80"/>
      <c r="E114" s="78"/>
      <c r="F114" s="75"/>
      <c r="G114" s="75"/>
      <c r="H114" s="76"/>
      <c r="I114" s="50" t="str">
        <f aca="false">IF(AND(C114="",B114="",D114=""),"",IF(C114="","⚠ Pick supplier",IF(ISNA(MATCH(C114,Suppliers!$B$7:$B$106,0)),"⚠ Supplier not in list",IF(B114="","⚠ Enter date",IF(N(D114)&lt;=0,"⚠ Enter amount",IF(AND(F114&lt;&gt;"",NOT(COUNTIFS(Bills!$D$8:$D$507,C114,Bills!$C$8:$C$507,F114)&gt;0)),"⚠ Bill not found – treated as on account",IF(F114="","✔ On account","✔")))))))</f>
        <v/>
      </c>
      <c r="J114" s="9" t="n">
        <f aca="false">IF(C114="",0,IF(F114="",N(D114),IF(COUNTIFS(Bills!$D$8:$D$507,C114,Bills!$C$8:$C$507,F114)&gt;0,0,N(D114))))</f>
        <v>0</v>
      </c>
    </row>
    <row r="115" customFormat="false" ht="15" hidden="false" customHeight="false" outlineLevel="0" collapsed="false">
      <c r="A115" s="40" t="str">
        <f aca="false">IF(C115="","",ROW()-7)</f>
        <v/>
      </c>
      <c r="B115" s="79"/>
      <c r="C115" s="76"/>
      <c r="D115" s="80"/>
      <c r="E115" s="78"/>
      <c r="F115" s="75"/>
      <c r="G115" s="75"/>
      <c r="H115" s="76"/>
      <c r="I115" s="50" t="str">
        <f aca="false">IF(AND(C115="",B115="",D115=""),"",IF(C115="","⚠ Pick supplier",IF(ISNA(MATCH(C115,Suppliers!$B$7:$B$106,0)),"⚠ Supplier not in list",IF(B115="","⚠ Enter date",IF(N(D115)&lt;=0,"⚠ Enter amount",IF(AND(F115&lt;&gt;"",NOT(COUNTIFS(Bills!$D$8:$D$507,C115,Bills!$C$8:$C$507,F115)&gt;0)),"⚠ Bill not found – treated as on account",IF(F115="","✔ On account","✔")))))))</f>
        <v/>
      </c>
      <c r="J115" s="9" t="n">
        <f aca="false">IF(C115="",0,IF(F115="",N(D115),IF(COUNTIFS(Bills!$D$8:$D$507,C115,Bills!$C$8:$C$507,F115)&gt;0,0,N(D115))))</f>
        <v>0</v>
      </c>
    </row>
    <row r="116" customFormat="false" ht="15" hidden="false" customHeight="false" outlineLevel="0" collapsed="false">
      <c r="A116" s="40" t="str">
        <f aca="false">IF(C116="","",ROW()-7)</f>
        <v/>
      </c>
      <c r="B116" s="79"/>
      <c r="C116" s="76"/>
      <c r="D116" s="80"/>
      <c r="E116" s="78"/>
      <c r="F116" s="75"/>
      <c r="G116" s="75"/>
      <c r="H116" s="76"/>
      <c r="I116" s="50" t="str">
        <f aca="false">IF(AND(C116="",B116="",D116=""),"",IF(C116="","⚠ Pick supplier",IF(ISNA(MATCH(C116,Suppliers!$B$7:$B$106,0)),"⚠ Supplier not in list",IF(B116="","⚠ Enter date",IF(N(D116)&lt;=0,"⚠ Enter amount",IF(AND(F116&lt;&gt;"",NOT(COUNTIFS(Bills!$D$8:$D$507,C116,Bills!$C$8:$C$507,F116)&gt;0)),"⚠ Bill not found – treated as on account",IF(F116="","✔ On account","✔")))))))</f>
        <v/>
      </c>
      <c r="J116" s="9" t="n">
        <f aca="false">IF(C116="",0,IF(F116="",N(D116),IF(COUNTIFS(Bills!$D$8:$D$507,C116,Bills!$C$8:$C$507,F116)&gt;0,0,N(D116))))</f>
        <v>0</v>
      </c>
    </row>
    <row r="117" customFormat="false" ht="15" hidden="false" customHeight="false" outlineLevel="0" collapsed="false">
      <c r="A117" s="40" t="str">
        <f aca="false">IF(C117="","",ROW()-7)</f>
        <v/>
      </c>
      <c r="B117" s="79"/>
      <c r="C117" s="76"/>
      <c r="D117" s="80"/>
      <c r="E117" s="78"/>
      <c r="F117" s="75"/>
      <c r="G117" s="75"/>
      <c r="H117" s="76"/>
      <c r="I117" s="50" t="str">
        <f aca="false">IF(AND(C117="",B117="",D117=""),"",IF(C117="","⚠ Pick supplier",IF(ISNA(MATCH(C117,Suppliers!$B$7:$B$106,0)),"⚠ Supplier not in list",IF(B117="","⚠ Enter date",IF(N(D117)&lt;=0,"⚠ Enter amount",IF(AND(F117&lt;&gt;"",NOT(COUNTIFS(Bills!$D$8:$D$507,C117,Bills!$C$8:$C$507,F117)&gt;0)),"⚠ Bill not found – treated as on account",IF(F117="","✔ On account","✔")))))))</f>
        <v/>
      </c>
      <c r="J117" s="9" t="n">
        <f aca="false">IF(C117="",0,IF(F117="",N(D117),IF(COUNTIFS(Bills!$D$8:$D$507,C117,Bills!$C$8:$C$507,F117)&gt;0,0,N(D117))))</f>
        <v>0</v>
      </c>
    </row>
    <row r="118" customFormat="false" ht="15" hidden="false" customHeight="false" outlineLevel="0" collapsed="false">
      <c r="A118" s="40" t="str">
        <f aca="false">IF(C118="","",ROW()-7)</f>
        <v/>
      </c>
      <c r="B118" s="79"/>
      <c r="C118" s="76"/>
      <c r="D118" s="80"/>
      <c r="E118" s="78"/>
      <c r="F118" s="75"/>
      <c r="G118" s="75"/>
      <c r="H118" s="76"/>
      <c r="I118" s="50" t="str">
        <f aca="false">IF(AND(C118="",B118="",D118=""),"",IF(C118="","⚠ Pick supplier",IF(ISNA(MATCH(C118,Suppliers!$B$7:$B$106,0)),"⚠ Supplier not in list",IF(B118="","⚠ Enter date",IF(N(D118)&lt;=0,"⚠ Enter amount",IF(AND(F118&lt;&gt;"",NOT(COUNTIFS(Bills!$D$8:$D$507,C118,Bills!$C$8:$C$507,F118)&gt;0)),"⚠ Bill not found – treated as on account",IF(F118="","✔ On account","✔")))))))</f>
        <v/>
      </c>
      <c r="J118" s="9" t="n">
        <f aca="false">IF(C118="",0,IF(F118="",N(D118),IF(COUNTIFS(Bills!$D$8:$D$507,C118,Bills!$C$8:$C$507,F118)&gt;0,0,N(D118))))</f>
        <v>0</v>
      </c>
    </row>
    <row r="119" customFormat="false" ht="15" hidden="false" customHeight="false" outlineLevel="0" collapsed="false">
      <c r="A119" s="40" t="str">
        <f aca="false">IF(C119="","",ROW()-7)</f>
        <v/>
      </c>
      <c r="B119" s="79"/>
      <c r="C119" s="76"/>
      <c r="D119" s="80"/>
      <c r="E119" s="78"/>
      <c r="F119" s="75"/>
      <c r="G119" s="75"/>
      <c r="H119" s="76"/>
      <c r="I119" s="50" t="str">
        <f aca="false">IF(AND(C119="",B119="",D119=""),"",IF(C119="","⚠ Pick supplier",IF(ISNA(MATCH(C119,Suppliers!$B$7:$B$106,0)),"⚠ Supplier not in list",IF(B119="","⚠ Enter date",IF(N(D119)&lt;=0,"⚠ Enter amount",IF(AND(F119&lt;&gt;"",NOT(COUNTIFS(Bills!$D$8:$D$507,C119,Bills!$C$8:$C$507,F119)&gt;0)),"⚠ Bill not found – treated as on account",IF(F119="","✔ On account","✔")))))))</f>
        <v/>
      </c>
      <c r="J119" s="9" t="n">
        <f aca="false">IF(C119="",0,IF(F119="",N(D119),IF(COUNTIFS(Bills!$D$8:$D$507,C119,Bills!$C$8:$C$507,F119)&gt;0,0,N(D119))))</f>
        <v>0</v>
      </c>
    </row>
    <row r="120" customFormat="false" ht="15" hidden="false" customHeight="false" outlineLevel="0" collapsed="false">
      <c r="A120" s="40" t="str">
        <f aca="false">IF(C120="","",ROW()-7)</f>
        <v/>
      </c>
      <c r="B120" s="79"/>
      <c r="C120" s="76"/>
      <c r="D120" s="80"/>
      <c r="E120" s="78"/>
      <c r="F120" s="75"/>
      <c r="G120" s="75"/>
      <c r="H120" s="76"/>
      <c r="I120" s="50" t="str">
        <f aca="false">IF(AND(C120="",B120="",D120=""),"",IF(C120="","⚠ Pick supplier",IF(ISNA(MATCH(C120,Suppliers!$B$7:$B$106,0)),"⚠ Supplier not in list",IF(B120="","⚠ Enter date",IF(N(D120)&lt;=0,"⚠ Enter amount",IF(AND(F120&lt;&gt;"",NOT(COUNTIFS(Bills!$D$8:$D$507,C120,Bills!$C$8:$C$507,F120)&gt;0)),"⚠ Bill not found – treated as on account",IF(F120="","✔ On account","✔")))))))</f>
        <v/>
      </c>
      <c r="J120" s="9" t="n">
        <f aca="false">IF(C120="",0,IF(F120="",N(D120),IF(COUNTIFS(Bills!$D$8:$D$507,C120,Bills!$C$8:$C$507,F120)&gt;0,0,N(D120))))</f>
        <v>0</v>
      </c>
    </row>
    <row r="121" customFormat="false" ht="15" hidden="false" customHeight="false" outlineLevel="0" collapsed="false">
      <c r="A121" s="40" t="str">
        <f aca="false">IF(C121="","",ROW()-7)</f>
        <v/>
      </c>
      <c r="B121" s="79"/>
      <c r="C121" s="76"/>
      <c r="D121" s="80"/>
      <c r="E121" s="78"/>
      <c r="F121" s="75"/>
      <c r="G121" s="75"/>
      <c r="H121" s="76"/>
      <c r="I121" s="50" t="str">
        <f aca="false">IF(AND(C121="",B121="",D121=""),"",IF(C121="","⚠ Pick supplier",IF(ISNA(MATCH(C121,Suppliers!$B$7:$B$106,0)),"⚠ Supplier not in list",IF(B121="","⚠ Enter date",IF(N(D121)&lt;=0,"⚠ Enter amount",IF(AND(F121&lt;&gt;"",NOT(COUNTIFS(Bills!$D$8:$D$507,C121,Bills!$C$8:$C$507,F121)&gt;0)),"⚠ Bill not found – treated as on account",IF(F121="","✔ On account","✔")))))))</f>
        <v/>
      </c>
      <c r="J121" s="9" t="n">
        <f aca="false">IF(C121="",0,IF(F121="",N(D121),IF(COUNTIFS(Bills!$D$8:$D$507,C121,Bills!$C$8:$C$507,F121)&gt;0,0,N(D121))))</f>
        <v>0</v>
      </c>
    </row>
    <row r="122" customFormat="false" ht="15" hidden="false" customHeight="false" outlineLevel="0" collapsed="false">
      <c r="A122" s="40" t="str">
        <f aca="false">IF(C122="","",ROW()-7)</f>
        <v/>
      </c>
      <c r="B122" s="79"/>
      <c r="C122" s="76"/>
      <c r="D122" s="80"/>
      <c r="E122" s="78"/>
      <c r="F122" s="75"/>
      <c r="G122" s="75"/>
      <c r="H122" s="76"/>
      <c r="I122" s="50" t="str">
        <f aca="false">IF(AND(C122="",B122="",D122=""),"",IF(C122="","⚠ Pick supplier",IF(ISNA(MATCH(C122,Suppliers!$B$7:$B$106,0)),"⚠ Supplier not in list",IF(B122="","⚠ Enter date",IF(N(D122)&lt;=0,"⚠ Enter amount",IF(AND(F122&lt;&gt;"",NOT(COUNTIFS(Bills!$D$8:$D$507,C122,Bills!$C$8:$C$507,F122)&gt;0)),"⚠ Bill not found – treated as on account",IF(F122="","✔ On account","✔")))))))</f>
        <v/>
      </c>
      <c r="J122" s="9" t="n">
        <f aca="false">IF(C122="",0,IF(F122="",N(D122),IF(COUNTIFS(Bills!$D$8:$D$507,C122,Bills!$C$8:$C$507,F122)&gt;0,0,N(D122))))</f>
        <v>0</v>
      </c>
    </row>
    <row r="123" customFormat="false" ht="15" hidden="false" customHeight="false" outlineLevel="0" collapsed="false">
      <c r="A123" s="40" t="str">
        <f aca="false">IF(C123="","",ROW()-7)</f>
        <v/>
      </c>
      <c r="B123" s="79"/>
      <c r="C123" s="76"/>
      <c r="D123" s="80"/>
      <c r="E123" s="78"/>
      <c r="F123" s="75"/>
      <c r="G123" s="75"/>
      <c r="H123" s="76"/>
      <c r="I123" s="50" t="str">
        <f aca="false">IF(AND(C123="",B123="",D123=""),"",IF(C123="","⚠ Pick supplier",IF(ISNA(MATCH(C123,Suppliers!$B$7:$B$106,0)),"⚠ Supplier not in list",IF(B123="","⚠ Enter date",IF(N(D123)&lt;=0,"⚠ Enter amount",IF(AND(F123&lt;&gt;"",NOT(COUNTIFS(Bills!$D$8:$D$507,C123,Bills!$C$8:$C$507,F123)&gt;0)),"⚠ Bill not found – treated as on account",IF(F123="","✔ On account","✔")))))))</f>
        <v/>
      </c>
      <c r="J123" s="9" t="n">
        <f aca="false">IF(C123="",0,IF(F123="",N(D123),IF(COUNTIFS(Bills!$D$8:$D$507,C123,Bills!$C$8:$C$507,F123)&gt;0,0,N(D123))))</f>
        <v>0</v>
      </c>
    </row>
    <row r="124" customFormat="false" ht="15" hidden="false" customHeight="false" outlineLevel="0" collapsed="false">
      <c r="A124" s="40" t="str">
        <f aca="false">IF(C124="","",ROW()-7)</f>
        <v/>
      </c>
      <c r="B124" s="79"/>
      <c r="C124" s="76"/>
      <c r="D124" s="80"/>
      <c r="E124" s="78"/>
      <c r="F124" s="75"/>
      <c r="G124" s="75"/>
      <c r="H124" s="76"/>
      <c r="I124" s="50" t="str">
        <f aca="false">IF(AND(C124="",B124="",D124=""),"",IF(C124="","⚠ Pick supplier",IF(ISNA(MATCH(C124,Suppliers!$B$7:$B$106,0)),"⚠ Supplier not in list",IF(B124="","⚠ Enter date",IF(N(D124)&lt;=0,"⚠ Enter amount",IF(AND(F124&lt;&gt;"",NOT(COUNTIFS(Bills!$D$8:$D$507,C124,Bills!$C$8:$C$507,F124)&gt;0)),"⚠ Bill not found – treated as on account",IF(F124="","✔ On account","✔")))))))</f>
        <v/>
      </c>
      <c r="J124" s="9" t="n">
        <f aca="false">IF(C124="",0,IF(F124="",N(D124),IF(COUNTIFS(Bills!$D$8:$D$507,C124,Bills!$C$8:$C$507,F124)&gt;0,0,N(D124))))</f>
        <v>0</v>
      </c>
    </row>
    <row r="125" customFormat="false" ht="15" hidden="false" customHeight="false" outlineLevel="0" collapsed="false">
      <c r="A125" s="40" t="str">
        <f aca="false">IF(C125="","",ROW()-7)</f>
        <v/>
      </c>
      <c r="B125" s="79"/>
      <c r="C125" s="76"/>
      <c r="D125" s="80"/>
      <c r="E125" s="78"/>
      <c r="F125" s="75"/>
      <c r="G125" s="75"/>
      <c r="H125" s="76"/>
      <c r="I125" s="50" t="str">
        <f aca="false">IF(AND(C125="",B125="",D125=""),"",IF(C125="","⚠ Pick supplier",IF(ISNA(MATCH(C125,Suppliers!$B$7:$B$106,0)),"⚠ Supplier not in list",IF(B125="","⚠ Enter date",IF(N(D125)&lt;=0,"⚠ Enter amount",IF(AND(F125&lt;&gt;"",NOT(COUNTIFS(Bills!$D$8:$D$507,C125,Bills!$C$8:$C$507,F125)&gt;0)),"⚠ Bill not found – treated as on account",IF(F125="","✔ On account","✔")))))))</f>
        <v/>
      </c>
      <c r="J125" s="9" t="n">
        <f aca="false">IF(C125="",0,IF(F125="",N(D125),IF(COUNTIFS(Bills!$D$8:$D$507,C125,Bills!$C$8:$C$507,F125)&gt;0,0,N(D125))))</f>
        <v>0</v>
      </c>
    </row>
    <row r="126" customFormat="false" ht="15" hidden="false" customHeight="false" outlineLevel="0" collapsed="false">
      <c r="A126" s="40" t="str">
        <f aca="false">IF(C126="","",ROW()-7)</f>
        <v/>
      </c>
      <c r="B126" s="79"/>
      <c r="C126" s="76"/>
      <c r="D126" s="80"/>
      <c r="E126" s="78"/>
      <c r="F126" s="75"/>
      <c r="G126" s="75"/>
      <c r="H126" s="76"/>
      <c r="I126" s="50" t="str">
        <f aca="false">IF(AND(C126="",B126="",D126=""),"",IF(C126="","⚠ Pick supplier",IF(ISNA(MATCH(C126,Suppliers!$B$7:$B$106,0)),"⚠ Supplier not in list",IF(B126="","⚠ Enter date",IF(N(D126)&lt;=0,"⚠ Enter amount",IF(AND(F126&lt;&gt;"",NOT(COUNTIFS(Bills!$D$8:$D$507,C126,Bills!$C$8:$C$507,F126)&gt;0)),"⚠ Bill not found – treated as on account",IF(F126="","✔ On account","✔")))))))</f>
        <v/>
      </c>
      <c r="J126" s="9" t="n">
        <f aca="false">IF(C126="",0,IF(F126="",N(D126),IF(COUNTIFS(Bills!$D$8:$D$507,C126,Bills!$C$8:$C$507,F126)&gt;0,0,N(D126))))</f>
        <v>0</v>
      </c>
    </row>
    <row r="127" customFormat="false" ht="15" hidden="false" customHeight="false" outlineLevel="0" collapsed="false">
      <c r="A127" s="40" t="str">
        <f aca="false">IF(C127="","",ROW()-7)</f>
        <v/>
      </c>
      <c r="B127" s="79"/>
      <c r="C127" s="76"/>
      <c r="D127" s="80"/>
      <c r="E127" s="78"/>
      <c r="F127" s="75"/>
      <c r="G127" s="75"/>
      <c r="H127" s="76"/>
      <c r="I127" s="50" t="str">
        <f aca="false">IF(AND(C127="",B127="",D127=""),"",IF(C127="","⚠ Pick supplier",IF(ISNA(MATCH(C127,Suppliers!$B$7:$B$106,0)),"⚠ Supplier not in list",IF(B127="","⚠ Enter date",IF(N(D127)&lt;=0,"⚠ Enter amount",IF(AND(F127&lt;&gt;"",NOT(COUNTIFS(Bills!$D$8:$D$507,C127,Bills!$C$8:$C$507,F127)&gt;0)),"⚠ Bill not found – treated as on account",IF(F127="","✔ On account","✔")))))))</f>
        <v/>
      </c>
      <c r="J127" s="9" t="n">
        <f aca="false">IF(C127="",0,IF(F127="",N(D127),IF(COUNTIFS(Bills!$D$8:$D$507,C127,Bills!$C$8:$C$507,F127)&gt;0,0,N(D127))))</f>
        <v>0</v>
      </c>
    </row>
    <row r="128" customFormat="false" ht="15" hidden="false" customHeight="false" outlineLevel="0" collapsed="false">
      <c r="A128" s="40" t="str">
        <f aca="false">IF(C128="","",ROW()-7)</f>
        <v/>
      </c>
      <c r="B128" s="79"/>
      <c r="C128" s="76"/>
      <c r="D128" s="80"/>
      <c r="E128" s="78"/>
      <c r="F128" s="75"/>
      <c r="G128" s="75"/>
      <c r="H128" s="76"/>
      <c r="I128" s="50" t="str">
        <f aca="false">IF(AND(C128="",B128="",D128=""),"",IF(C128="","⚠ Pick supplier",IF(ISNA(MATCH(C128,Suppliers!$B$7:$B$106,0)),"⚠ Supplier not in list",IF(B128="","⚠ Enter date",IF(N(D128)&lt;=0,"⚠ Enter amount",IF(AND(F128&lt;&gt;"",NOT(COUNTIFS(Bills!$D$8:$D$507,C128,Bills!$C$8:$C$507,F128)&gt;0)),"⚠ Bill not found – treated as on account",IF(F128="","✔ On account","✔")))))))</f>
        <v/>
      </c>
      <c r="J128" s="9" t="n">
        <f aca="false">IF(C128="",0,IF(F128="",N(D128),IF(COUNTIFS(Bills!$D$8:$D$507,C128,Bills!$C$8:$C$507,F128)&gt;0,0,N(D128))))</f>
        <v>0</v>
      </c>
    </row>
    <row r="129" customFormat="false" ht="15" hidden="false" customHeight="false" outlineLevel="0" collapsed="false">
      <c r="A129" s="40" t="str">
        <f aca="false">IF(C129="","",ROW()-7)</f>
        <v/>
      </c>
      <c r="B129" s="79"/>
      <c r="C129" s="76"/>
      <c r="D129" s="80"/>
      <c r="E129" s="78"/>
      <c r="F129" s="75"/>
      <c r="G129" s="75"/>
      <c r="H129" s="76"/>
      <c r="I129" s="50" t="str">
        <f aca="false">IF(AND(C129="",B129="",D129=""),"",IF(C129="","⚠ Pick supplier",IF(ISNA(MATCH(C129,Suppliers!$B$7:$B$106,0)),"⚠ Supplier not in list",IF(B129="","⚠ Enter date",IF(N(D129)&lt;=0,"⚠ Enter amount",IF(AND(F129&lt;&gt;"",NOT(COUNTIFS(Bills!$D$8:$D$507,C129,Bills!$C$8:$C$507,F129)&gt;0)),"⚠ Bill not found – treated as on account",IF(F129="","✔ On account","✔")))))))</f>
        <v/>
      </c>
      <c r="J129" s="9" t="n">
        <f aca="false">IF(C129="",0,IF(F129="",N(D129),IF(COUNTIFS(Bills!$D$8:$D$507,C129,Bills!$C$8:$C$507,F129)&gt;0,0,N(D129))))</f>
        <v>0</v>
      </c>
    </row>
    <row r="130" customFormat="false" ht="15" hidden="false" customHeight="false" outlineLevel="0" collapsed="false">
      <c r="A130" s="40" t="str">
        <f aca="false">IF(C130="","",ROW()-7)</f>
        <v/>
      </c>
      <c r="B130" s="79"/>
      <c r="C130" s="76"/>
      <c r="D130" s="80"/>
      <c r="E130" s="78"/>
      <c r="F130" s="75"/>
      <c r="G130" s="75"/>
      <c r="H130" s="76"/>
      <c r="I130" s="50" t="str">
        <f aca="false">IF(AND(C130="",B130="",D130=""),"",IF(C130="","⚠ Pick supplier",IF(ISNA(MATCH(C130,Suppliers!$B$7:$B$106,0)),"⚠ Supplier not in list",IF(B130="","⚠ Enter date",IF(N(D130)&lt;=0,"⚠ Enter amount",IF(AND(F130&lt;&gt;"",NOT(COUNTIFS(Bills!$D$8:$D$507,C130,Bills!$C$8:$C$507,F130)&gt;0)),"⚠ Bill not found – treated as on account",IF(F130="","✔ On account","✔")))))))</f>
        <v/>
      </c>
      <c r="J130" s="9" t="n">
        <f aca="false">IF(C130="",0,IF(F130="",N(D130),IF(COUNTIFS(Bills!$D$8:$D$507,C130,Bills!$C$8:$C$507,F130)&gt;0,0,N(D130))))</f>
        <v>0</v>
      </c>
    </row>
    <row r="131" customFormat="false" ht="15" hidden="false" customHeight="false" outlineLevel="0" collapsed="false">
      <c r="A131" s="40" t="str">
        <f aca="false">IF(C131="","",ROW()-7)</f>
        <v/>
      </c>
      <c r="B131" s="79"/>
      <c r="C131" s="76"/>
      <c r="D131" s="80"/>
      <c r="E131" s="78"/>
      <c r="F131" s="75"/>
      <c r="G131" s="75"/>
      <c r="H131" s="76"/>
      <c r="I131" s="50" t="str">
        <f aca="false">IF(AND(C131="",B131="",D131=""),"",IF(C131="","⚠ Pick supplier",IF(ISNA(MATCH(C131,Suppliers!$B$7:$B$106,0)),"⚠ Supplier not in list",IF(B131="","⚠ Enter date",IF(N(D131)&lt;=0,"⚠ Enter amount",IF(AND(F131&lt;&gt;"",NOT(COUNTIFS(Bills!$D$8:$D$507,C131,Bills!$C$8:$C$507,F131)&gt;0)),"⚠ Bill not found – treated as on account",IF(F131="","✔ On account","✔")))))))</f>
        <v/>
      </c>
      <c r="J131" s="9" t="n">
        <f aca="false">IF(C131="",0,IF(F131="",N(D131),IF(COUNTIFS(Bills!$D$8:$D$507,C131,Bills!$C$8:$C$507,F131)&gt;0,0,N(D131))))</f>
        <v>0</v>
      </c>
    </row>
    <row r="132" customFormat="false" ht="15" hidden="false" customHeight="false" outlineLevel="0" collapsed="false">
      <c r="A132" s="40" t="str">
        <f aca="false">IF(C132="","",ROW()-7)</f>
        <v/>
      </c>
      <c r="B132" s="79"/>
      <c r="C132" s="76"/>
      <c r="D132" s="80"/>
      <c r="E132" s="78"/>
      <c r="F132" s="75"/>
      <c r="G132" s="75"/>
      <c r="H132" s="76"/>
      <c r="I132" s="50" t="str">
        <f aca="false">IF(AND(C132="",B132="",D132=""),"",IF(C132="","⚠ Pick supplier",IF(ISNA(MATCH(C132,Suppliers!$B$7:$B$106,0)),"⚠ Supplier not in list",IF(B132="","⚠ Enter date",IF(N(D132)&lt;=0,"⚠ Enter amount",IF(AND(F132&lt;&gt;"",NOT(COUNTIFS(Bills!$D$8:$D$507,C132,Bills!$C$8:$C$507,F132)&gt;0)),"⚠ Bill not found – treated as on account",IF(F132="","✔ On account","✔")))))))</f>
        <v/>
      </c>
      <c r="J132" s="9" t="n">
        <f aca="false">IF(C132="",0,IF(F132="",N(D132),IF(COUNTIFS(Bills!$D$8:$D$507,C132,Bills!$C$8:$C$507,F132)&gt;0,0,N(D132))))</f>
        <v>0</v>
      </c>
    </row>
    <row r="133" customFormat="false" ht="15" hidden="false" customHeight="false" outlineLevel="0" collapsed="false">
      <c r="A133" s="40" t="str">
        <f aca="false">IF(C133="","",ROW()-7)</f>
        <v/>
      </c>
      <c r="B133" s="79"/>
      <c r="C133" s="76"/>
      <c r="D133" s="80"/>
      <c r="E133" s="78"/>
      <c r="F133" s="75"/>
      <c r="G133" s="75"/>
      <c r="H133" s="76"/>
      <c r="I133" s="50" t="str">
        <f aca="false">IF(AND(C133="",B133="",D133=""),"",IF(C133="","⚠ Pick supplier",IF(ISNA(MATCH(C133,Suppliers!$B$7:$B$106,0)),"⚠ Supplier not in list",IF(B133="","⚠ Enter date",IF(N(D133)&lt;=0,"⚠ Enter amount",IF(AND(F133&lt;&gt;"",NOT(COUNTIFS(Bills!$D$8:$D$507,C133,Bills!$C$8:$C$507,F133)&gt;0)),"⚠ Bill not found – treated as on account",IF(F133="","✔ On account","✔")))))))</f>
        <v/>
      </c>
      <c r="J133" s="9" t="n">
        <f aca="false">IF(C133="",0,IF(F133="",N(D133),IF(COUNTIFS(Bills!$D$8:$D$507,C133,Bills!$C$8:$C$507,F133)&gt;0,0,N(D133))))</f>
        <v>0</v>
      </c>
    </row>
    <row r="134" customFormat="false" ht="15" hidden="false" customHeight="false" outlineLevel="0" collapsed="false">
      <c r="A134" s="40" t="str">
        <f aca="false">IF(C134="","",ROW()-7)</f>
        <v/>
      </c>
      <c r="B134" s="79"/>
      <c r="C134" s="76"/>
      <c r="D134" s="80"/>
      <c r="E134" s="78"/>
      <c r="F134" s="75"/>
      <c r="G134" s="75"/>
      <c r="H134" s="76"/>
      <c r="I134" s="50" t="str">
        <f aca="false">IF(AND(C134="",B134="",D134=""),"",IF(C134="","⚠ Pick supplier",IF(ISNA(MATCH(C134,Suppliers!$B$7:$B$106,0)),"⚠ Supplier not in list",IF(B134="","⚠ Enter date",IF(N(D134)&lt;=0,"⚠ Enter amount",IF(AND(F134&lt;&gt;"",NOT(COUNTIFS(Bills!$D$8:$D$507,C134,Bills!$C$8:$C$507,F134)&gt;0)),"⚠ Bill not found – treated as on account",IF(F134="","✔ On account","✔")))))))</f>
        <v/>
      </c>
      <c r="J134" s="9" t="n">
        <f aca="false">IF(C134="",0,IF(F134="",N(D134),IF(COUNTIFS(Bills!$D$8:$D$507,C134,Bills!$C$8:$C$507,F134)&gt;0,0,N(D134))))</f>
        <v>0</v>
      </c>
    </row>
    <row r="135" customFormat="false" ht="15" hidden="false" customHeight="false" outlineLevel="0" collapsed="false">
      <c r="A135" s="40" t="str">
        <f aca="false">IF(C135="","",ROW()-7)</f>
        <v/>
      </c>
      <c r="B135" s="79"/>
      <c r="C135" s="76"/>
      <c r="D135" s="80"/>
      <c r="E135" s="78"/>
      <c r="F135" s="75"/>
      <c r="G135" s="75"/>
      <c r="H135" s="76"/>
      <c r="I135" s="50" t="str">
        <f aca="false">IF(AND(C135="",B135="",D135=""),"",IF(C135="","⚠ Pick supplier",IF(ISNA(MATCH(C135,Suppliers!$B$7:$B$106,0)),"⚠ Supplier not in list",IF(B135="","⚠ Enter date",IF(N(D135)&lt;=0,"⚠ Enter amount",IF(AND(F135&lt;&gt;"",NOT(COUNTIFS(Bills!$D$8:$D$507,C135,Bills!$C$8:$C$507,F135)&gt;0)),"⚠ Bill not found – treated as on account",IF(F135="","✔ On account","✔")))))))</f>
        <v/>
      </c>
      <c r="J135" s="9" t="n">
        <f aca="false">IF(C135="",0,IF(F135="",N(D135),IF(COUNTIFS(Bills!$D$8:$D$507,C135,Bills!$C$8:$C$507,F135)&gt;0,0,N(D135))))</f>
        <v>0</v>
      </c>
    </row>
    <row r="136" customFormat="false" ht="15" hidden="false" customHeight="false" outlineLevel="0" collapsed="false">
      <c r="A136" s="40" t="str">
        <f aca="false">IF(C136="","",ROW()-7)</f>
        <v/>
      </c>
      <c r="B136" s="79"/>
      <c r="C136" s="76"/>
      <c r="D136" s="80"/>
      <c r="E136" s="78"/>
      <c r="F136" s="75"/>
      <c r="G136" s="75"/>
      <c r="H136" s="76"/>
      <c r="I136" s="50" t="str">
        <f aca="false">IF(AND(C136="",B136="",D136=""),"",IF(C136="","⚠ Pick supplier",IF(ISNA(MATCH(C136,Suppliers!$B$7:$B$106,0)),"⚠ Supplier not in list",IF(B136="","⚠ Enter date",IF(N(D136)&lt;=0,"⚠ Enter amount",IF(AND(F136&lt;&gt;"",NOT(COUNTIFS(Bills!$D$8:$D$507,C136,Bills!$C$8:$C$507,F136)&gt;0)),"⚠ Bill not found – treated as on account",IF(F136="","✔ On account","✔")))))))</f>
        <v/>
      </c>
      <c r="J136" s="9" t="n">
        <f aca="false">IF(C136="",0,IF(F136="",N(D136),IF(COUNTIFS(Bills!$D$8:$D$507,C136,Bills!$C$8:$C$507,F136)&gt;0,0,N(D136))))</f>
        <v>0</v>
      </c>
    </row>
    <row r="137" customFormat="false" ht="15" hidden="false" customHeight="false" outlineLevel="0" collapsed="false">
      <c r="A137" s="40" t="str">
        <f aca="false">IF(C137="","",ROW()-7)</f>
        <v/>
      </c>
      <c r="B137" s="79"/>
      <c r="C137" s="76"/>
      <c r="D137" s="80"/>
      <c r="E137" s="78"/>
      <c r="F137" s="75"/>
      <c r="G137" s="75"/>
      <c r="H137" s="76"/>
      <c r="I137" s="50" t="str">
        <f aca="false">IF(AND(C137="",B137="",D137=""),"",IF(C137="","⚠ Pick supplier",IF(ISNA(MATCH(C137,Suppliers!$B$7:$B$106,0)),"⚠ Supplier not in list",IF(B137="","⚠ Enter date",IF(N(D137)&lt;=0,"⚠ Enter amount",IF(AND(F137&lt;&gt;"",NOT(COUNTIFS(Bills!$D$8:$D$507,C137,Bills!$C$8:$C$507,F137)&gt;0)),"⚠ Bill not found – treated as on account",IF(F137="","✔ On account","✔")))))))</f>
        <v/>
      </c>
      <c r="J137" s="9" t="n">
        <f aca="false">IF(C137="",0,IF(F137="",N(D137),IF(COUNTIFS(Bills!$D$8:$D$507,C137,Bills!$C$8:$C$507,F137)&gt;0,0,N(D137))))</f>
        <v>0</v>
      </c>
    </row>
    <row r="138" customFormat="false" ht="15" hidden="false" customHeight="false" outlineLevel="0" collapsed="false">
      <c r="A138" s="40" t="str">
        <f aca="false">IF(C138="","",ROW()-7)</f>
        <v/>
      </c>
      <c r="B138" s="79"/>
      <c r="C138" s="76"/>
      <c r="D138" s="80"/>
      <c r="E138" s="78"/>
      <c r="F138" s="75"/>
      <c r="G138" s="75"/>
      <c r="H138" s="76"/>
      <c r="I138" s="50" t="str">
        <f aca="false">IF(AND(C138="",B138="",D138=""),"",IF(C138="","⚠ Pick supplier",IF(ISNA(MATCH(C138,Suppliers!$B$7:$B$106,0)),"⚠ Supplier not in list",IF(B138="","⚠ Enter date",IF(N(D138)&lt;=0,"⚠ Enter amount",IF(AND(F138&lt;&gt;"",NOT(COUNTIFS(Bills!$D$8:$D$507,C138,Bills!$C$8:$C$507,F138)&gt;0)),"⚠ Bill not found – treated as on account",IF(F138="","✔ On account","✔")))))))</f>
        <v/>
      </c>
      <c r="J138" s="9" t="n">
        <f aca="false">IF(C138="",0,IF(F138="",N(D138),IF(COUNTIFS(Bills!$D$8:$D$507,C138,Bills!$C$8:$C$507,F138)&gt;0,0,N(D138))))</f>
        <v>0</v>
      </c>
    </row>
    <row r="139" customFormat="false" ht="15" hidden="false" customHeight="false" outlineLevel="0" collapsed="false">
      <c r="A139" s="40" t="str">
        <f aca="false">IF(C139="","",ROW()-7)</f>
        <v/>
      </c>
      <c r="B139" s="79"/>
      <c r="C139" s="76"/>
      <c r="D139" s="80"/>
      <c r="E139" s="78"/>
      <c r="F139" s="75"/>
      <c r="G139" s="75"/>
      <c r="H139" s="76"/>
      <c r="I139" s="50" t="str">
        <f aca="false">IF(AND(C139="",B139="",D139=""),"",IF(C139="","⚠ Pick supplier",IF(ISNA(MATCH(C139,Suppliers!$B$7:$B$106,0)),"⚠ Supplier not in list",IF(B139="","⚠ Enter date",IF(N(D139)&lt;=0,"⚠ Enter amount",IF(AND(F139&lt;&gt;"",NOT(COUNTIFS(Bills!$D$8:$D$507,C139,Bills!$C$8:$C$507,F139)&gt;0)),"⚠ Bill not found – treated as on account",IF(F139="","✔ On account","✔")))))))</f>
        <v/>
      </c>
      <c r="J139" s="9" t="n">
        <f aca="false">IF(C139="",0,IF(F139="",N(D139),IF(COUNTIFS(Bills!$D$8:$D$507,C139,Bills!$C$8:$C$507,F139)&gt;0,0,N(D139))))</f>
        <v>0</v>
      </c>
    </row>
    <row r="140" customFormat="false" ht="15" hidden="false" customHeight="false" outlineLevel="0" collapsed="false">
      <c r="A140" s="40" t="str">
        <f aca="false">IF(C140="","",ROW()-7)</f>
        <v/>
      </c>
      <c r="B140" s="79"/>
      <c r="C140" s="76"/>
      <c r="D140" s="80"/>
      <c r="E140" s="78"/>
      <c r="F140" s="75"/>
      <c r="G140" s="75"/>
      <c r="H140" s="76"/>
      <c r="I140" s="50" t="str">
        <f aca="false">IF(AND(C140="",B140="",D140=""),"",IF(C140="","⚠ Pick supplier",IF(ISNA(MATCH(C140,Suppliers!$B$7:$B$106,0)),"⚠ Supplier not in list",IF(B140="","⚠ Enter date",IF(N(D140)&lt;=0,"⚠ Enter amount",IF(AND(F140&lt;&gt;"",NOT(COUNTIFS(Bills!$D$8:$D$507,C140,Bills!$C$8:$C$507,F140)&gt;0)),"⚠ Bill not found – treated as on account",IF(F140="","✔ On account","✔")))))))</f>
        <v/>
      </c>
      <c r="J140" s="9" t="n">
        <f aca="false">IF(C140="",0,IF(F140="",N(D140),IF(COUNTIFS(Bills!$D$8:$D$507,C140,Bills!$C$8:$C$507,F140)&gt;0,0,N(D140))))</f>
        <v>0</v>
      </c>
    </row>
    <row r="141" customFormat="false" ht="15" hidden="false" customHeight="false" outlineLevel="0" collapsed="false">
      <c r="A141" s="40" t="str">
        <f aca="false">IF(C141="","",ROW()-7)</f>
        <v/>
      </c>
      <c r="B141" s="79"/>
      <c r="C141" s="76"/>
      <c r="D141" s="80"/>
      <c r="E141" s="78"/>
      <c r="F141" s="75"/>
      <c r="G141" s="75"/>
      <c r="H141" s="76"/>
      <c r="I141" s="50" t="str">
        <f aca="false">IF(AND(C141="",B141="",D141=""),"",IF(C141="","⚠ Pick supplier",IF(ISNA(MATCH(C141,Suppliers!$B$7:$B$106,0)),"⚠ Supplier not in list",IF(B141="","⚠ Enter date",IF(N(D141)&lt;=0,"⚠ Enter amount",IF(AND(F141&lt;&gt;"",NOT(COUNTIFS(Bills!$D$8:$D$507,C141,Bills!$C$8:$C$507,F141)&gt;0)),"⚠ Bill not found – treated as on account",IF(F141="","✔ On account","✔")))))))</f>
        <v/>
      </c>
      <c r="J141" s="9" t="n">
        <f aca="false">IF(C141="",0,IF(F141="",N(D141),IF(COUNTIFS(Bills!$D$8:$D$507,C141,Bills!$C$8:$C$507,F141)&gt;0,0,N(D141))))</f>
        <v>0</v>
      </c>
    </row>
    <row r="142" customFormat="false" ht="15" hidden="false" customHeight="false" outlineLevel="0" collapsed="false">
      <c r="A142" s="40" t="str">
        <f aca="false">IF(C142="","",ROW()-7)</f>
        <v/>
      </c>
      <c r="B142" s="79"/>
      <c r="C142" s="76"/>
      <c r="D142" s="80"/>
      <c r="E142" s="78"/>
      <c r="F142" s="75"/>
      <c r="G142" s="75"/>
      <c r="H142" s="76"/>
      <c r="I142" s="50" t="str">
        <f aca="false">IF(AND(C142="",B142="",D142=""),"",IF(C142="","⚠ Pick supplier",IF(ISNA(MATCH(C142,Suppliers!$B$7:$B$106,0)),"⚠ Supplier not in list",IF(B142="","⚠ Enter date",IF(N(D142)&lt;=0,"⚠ Enter amount",IF(AND(F142&lt;&gt;"",NOT(COUNTIFS(Bills!$D$8:$D$507,C142,Bills!$C$8:$C$507,F142)&gt;0)),"⚠ Bill not found – treated as on account",IF(F142="","✔ On account","✔")))))))</f>
        <v/>
      </c>
      <c r="J142" s="9" t="n">
        <f aca="false">IF(C142="",0,IF(F142="",N(D142),IF(COUNTIFS(Bills!$D$8:$D$507,C142,Bills!$C$8:$C$507,F142)&gt;0,0,N(D142))))</f>
        <v>0</v>
      </c>
    </row>
    <row r="143" customFormat="false" ht="15" hidden="false" customHeight="false" outlineLevel="0" collapsed="false">
      <c r="A143" s="40" t="str">
        <f aca="false">IF(C143="","",ROW()-7)</f>
        <v/>
      </c>
      <c r="B143" s="79"/>
      <c r="C143" s="76"/>
      <c r="D143" s="80"/>
      <c r="E143" s="78"/>
      <c r="F143" s="75"/>
      <c r="G143" s="75"/>
      <c r="H143" s="76"/>
      <c r="I143" s="50" t="str">
        <f aca="false">IF(AND(C143="",B143="",D143=""),"",IF(C143="","⚠ Pick supplier",IF(ISNA(MATCH(C143,Suppliers!$B$7:$B$106,0)),"⚠ Supplier not in list",IF(B143="","⚠ Enter date",IF(N(D143)&lt;=0,"⚠ Enter amount",IF(AND(F143&lt;&gt;"",NOT(COUNTIFS(Bills!$D$8:$D$507,C143,Bills!$C$8:$C$507,F143)&gt;0)),"⚠ Bill not found – treated as on account",IF(F143="","✔ On account","✔")))))))</f>
        <v/>
      </c>
      <c r="J143" s="9" t="n">
        <f aca="false">IF(C143="",0,IF(F143="",N(D143),IF(COUNTIFS(Bills!$D$8:$D$507,C143,Bills!$C$8:$C$507,F143)&gt;0,0,N(D143))))</f>
        <v>0</v>
      </c>
    </row>
    <row r="144" customFormat="false" ht="15" hidden="false" customHeight="false" outlineLevel="0" collapsed="false">
      <c r="A144" s="40" t="str">
        <f aca="false">IF(C144="","",ROW()-7)</f>
        <v/>
      </c>
      <c r="B144" s="79"/>
      <c r="C144" s="76"/>
      <c r="D144" s="80"/>
      <c r="E144" s="78"/>
      <c r="F144" s="75"/>
      <c r="G144" s="75"/>
      <c r="H144" s="76"/>
      <c r="I144" s="50" t="str">
        <f aca="false">IF(AND(C144="",B144="",D144=""),"",IF(C144="","⚠ Pick supplier",IF(ISNA(MATCH(C144,Suppliers!$B$7:$B$106,0)),"⚠ Supplier not in list",IF(B144="","⚠ Enter date",IF(N(D144)&lt;=0,"⚠ Enter amount",IF(AND(F144&lt;&gt;"",NOT(COUNTIFS(Bills!$D$8:$D$507,C144,Bills!$C$8:$C$507,F144)&gt;0)),"⚠ Bill not found – treated as on account",IF(F144="","✔ On account","✔")))))))</f>
        <v/>
      </c>
      <c r="J144" s="9" t="n">
        <f aca="false">IF(C144="",0,IF(F144="",N(D144),IF(COUNTIFS(Bills!$D$8:$D$507,C144,Bills!$C$8:$C$507,F144)&gt;0,0,N(D144))))</f>
        <v>0</v>
      </c>
    </row>
    <row r="145" customFormat="false" ht="15" hidden="false" customHeight="false" outlineLevel="0" collapsed="false">
      <c r="A145" s="40" t="str">
        <f aca="false">IF(C145="","",ROW()-7)</f>
        <v/>
      </c>
      <c r="B145" s="79"/>
      <c r="C145" s="76"/>
      <c r="D145" s="80"/>
      <c r="E145" s="78"/>
      <c r="F145" s="75"/>
      <c r="G145" s="75"/>
      <c r="H145" s="76"/>
      <c r="I145" s="50" t="str">
        <f aca="false">IF(AND(C145="",B145="",D145=""),"",IF(C145="","⚠ Pick supplier",IF(ISNA(MATCH(C145,Suppliers!$B$7:$B$106,0)),"⚠ Supplier not in list",IF(B145="","⚠ Enter date",IF(N(D145)&lt;=0,"⚠ Enter amount",IF(AND(F145&lt;&gt;"",NOT(COUNTIFS(Bills!$D$8:$D$507,C145,Bills!$C$8:$C$507,F145)&gt;0)),"⚠ Bill not found – treated as on account",IF(F145="","✔ On account","✔")))))))</f>
        <v/>
      </c>
      <c r="J145" s="9" t="n">
        <f aca="false">IF(C145="",0,IF(F145="",N(D145),IF(COUNTIFS(Bills!$D$8:$D$507,C145,Bills!$C$8:$C$507,F145)&gt;0,0,N(D145))))</f>
        <v>0</v>
      </c>
    </row>
    <row r="146" customFormat="false" ht="15" hidden="false" customHeight="false" outlineLevel="0" collapsed="false">
      <c r="A146" s="40" t="str">
        <f aca="false">IF(C146="","",ROW()-7)</f>
        <v/>
      </c>
      <c r="B146" s="79"/>
      <c r="C146" s="76"/>
      <c r="D146" s="80"/>
      <c r="E146" s="78"/>
      <c r="F146" s="75"/>
      <c r="G146" s="75"/>
      <c r="H146" s="76"/>
      <c r="I146" s="50" t="str">
        <f aca="false">IF(AND(C146="",B146="",D146=""),"",IF(C146="","⚠ Pick supplier",IF(ISNA(MATCH(C146,Suppliers!$B$7:$B$106,0)),"⚠ Supplier not in list",IF(B146="","⚠ Enter date",IF(N(D146)&lt;=0,"⚠ Enter amount",IF(AND(F146&lt;&gt;"",NOT(COUNTIFS(Bills!$D$8:$D$507,C146,Bills!$C$8:$C$507,F146)&gt;0)),"⚠ Bill not found – treated as on account",IF(F146="","✔ On account","✔")))))))</f>
        <v/>
      </c>
      <c r="J146" s="9" t="n">
        <f aca="false">IF(C146="",0,IF(F146="",N(D146),IF(COUNTIFS(Bills!$D$8:$D$507,C146,Bills!$C$8:$C$507,F146)&gt;0,0,N(D146))))</f>
        <v>0</v>
      </c>
    </row>
    <row r="147" customFormat="false" ht="15" hidden="false" customHeight="false" outlineLevel="0" collapsed="false">
      <c r="A147" s="40" t="str">
        <f aca="false">IF(C147="","",ROW()-7)</f>
        <v/>
      </c>
      <c r="B147" s="79"/>
      <c r="C147" s="76"/>
      <c r="D147" s="80"/>
      <c r="E147" s="78"/>
      <c r="F147" s="75"/>
      <c r="G147" s="75"/>
      <c r="H147" s="76"/>
      <c r="I147" s="50" t="str">
        <f aca="false">IF(AND(C147="",B147="",D147=""),"",IF(C147="","⚠ Pick supplier",IF(ISNA(MATCH(C147,Suppliers!$B$7:$B$106,0)),"⚠ Supplier not in list",IF(B147="","⚠ Enter date",IF(N(D147)&lt;=0,"⚠ Enter amount",IF(AND(F147&lt;&gt;"",NOT(COUNTIFS(Bills!$D$8:$D$507,C147,Bills!$C$8:$C$507,F147)&gt;0)),"⚠ Bill not found – treated as on account",IF(F147="","✔ On account","✔")))))))</f>
        <v/>
      </c>
      <c r="J147" s="9" t="n">
        <f aca="false">IF(C147="",0,IF(F147="",N(D147),IF(COUNTIFS(Bills!$D$8:$D$507,C147,Bills!$C$8:$C$507,F147)&gt;0,0,N(D147))))</f>
        <v>0</v>
      </c>
    </row>
    <row r="148" customFormat="false" ht="15" hidden="false" customHeight="false" outlineLevel="0" collapsed="false">
      <c r="A148" s="40" t="str">
        <f aca="false">IF(C148="","",ROW()-7)</f>
        <v/>
      </c>
      <c r="B148" s="79"/>
      <c r="C148" s="76"/>
      <c r="D148" s="80"/>
      <c r="E148" s="78"/>
      <c r="F148" s="75"/>
      <c r="G148" s="75"/>
      <c r="H148" s="76"/>
      <c r="I148" s="50" t="str">
        <f aca="false">IF(AND(C148="",B148="",D148=""),"",IF(C148="","⚠ Pick supplier",IF(ISNA(MATCH(C148,Suppliers!$B$7:$B$106,0)),"⚠ Supplier not in list",IF(B148="","⚠ Enter date",IF(N(D148)&lt;=0,"⚠ Enter amount",IF(AND(F148&lt;&gt;"",NOT(COUNTIFS(Bills!$D$8:$D$507,C148,Bills!$C$8:$C$507,F148)&gt;0)),"⚠ Bill not found – treated as on account",IF(F148="","✔ On account","✔")))))))</f>
        <v/>
      </c>
      <c r="J148" s="9" t="n">
        <f aca="false">IF(C148="",0,IF(F148="",N(D148),IF(COUNTIFS(Bills!$D$8:$D$507,C148,Bills!$C$8:$C$507,F148)&gt;0,0,N(D148))))</f>
        <v>0</v>
      </c>
    </row>
    <row r="149" customFormat="false" ht="15" hidden="false" customHeight="false" outlineLevel="0" collapsed="false">
      <c r="A149" s="40" t="str">
        <f aca="false">IF(C149="","",ROW()-7)</f>
        <v/>
      </c>
      <c r="B149" s="79"/>
      <c r="C149" s="76"/>
      <c r="D149" s="80"/>
      <c r="E149" s="78"/>
      <c r="F149" s="75"/>
      <c r="G149" s="75"/>
      <c r="H149" s="76"/>
      <c r="I149" s="50" t="str">
        <f aca="false">IF(AND(C149="",B149="",D149=""),"",IF(C149="","⚠ Pick supplier",IF(ISNA(MATCH(C149,Suppliers!$B$7:$B$106,0)),"⚠ Supplier not in list",IF(B149="","⚠ Enter date",IF(N(D149)&lt;=0,"⚠ Enter amount",IF(AND(F149&lt;&gt;"",NOT(COUNTIFS(Bills!$D$8:$D$507,C149,Bills!$C$8:$C$507,F149)&gt;0)),"⚠ Bill not found – treated as on account",IF(F149="","✔ On account","✔")))))))</f>
        <v/>
      </c>
      <c r="J149" s="9" t="n">
        <f aca="false">IF(C149="",0,IF(F149="",N(D149),IF(COUNTIFS(Bills!$D$8:$D$507,C149,Bills!$C$8:$C$507,F149)&gt;0,0,N(D149))))</f>
        <v>0</v>
      </c>
    </row>
    <row r="150" customFormat="false" ht="15" hidden="false" customHeight="false" outlineLevel="0" collapsed="false">
      <c r="A150" s="40" t="str">
        <f aca="false">IF(C150="","",ROW()-7)</f>
        <v/>
      </c>
      <c r="B150" s="79"/>
      <c r="C150" s="76"/>
      <c r="D150" s="80"/>
      <c r="E150" s="78"/>
      <c r="F150" s="75"/>
      <c r="G150" s="75"/>
      <c r="H150" s="76"/>
      <c r="I150" s="50" t="str">
        <f aca="false">IF(AND(C150="",B150="",D150=""),"",IF(C150="","⚠ Pick supplier",IF(ISNA(MATCH(C150,Suppliers!$B$7:$B$106,0)),"⚠ Supplier not in list",IF(B150="","⚠ Enter date",IF(N(D150)&lt;=0,"⚠ Enter amount",IF(AND(F150&lt;&gt;"",NOT(COUNTIFS(Bills!$D$8:$D$507,C150,Bills!$C$8:$C$507,F150)&gt;0)),"⚠ Bill not found – treated as on account",IF(F150="","✔ On account","✔")))))))</f>
        <v/>
      </c>
      <c r="J150" s="9" t="n">
        <f aca="false">IF(C150="",0,IF(F150="",N(D150),IF(COUNTIFS(Bills!$D$8:$D$507,C150,Bills!$C$8:$C$507,F150)&gt;0,0,N(D150))))</f>
        <v>0</v>
      </c>
    </row>
    <row r="151" customFormat="false" ht="15" hidden="false" customHeight="false" outlineLevel="0" collapsed="false">
      <c r="A151" s="40" t="str">
        <f aca="false">IF(C151="","",ROW()-7)</f>
        <v/>
      </c>
      <c r="B151" s="79"/>
      <c r="C151" s="76"/>
      <c r="D151" s="80"/>
      <c r="E151" s="78"/>
      <c r="F151" s="75"/>
      <c r="G151" s="75"/>
      <c r="H151" s="76"/>
      <c r="I151" s="50" t="str">
        <f aca="false">IF(AND(C151="",B151="",D151=""),"",IF(C151="","⚠ Pick supplier",IF(ISNA(MATCH(C151,Suppliers!$B$7:$B$106,0)),"⚠ Supplier not in list",IF(B151="","⚠ Enter date",IF(N(D151)&lt;=0,"⚠ Enter amount",IF(AND(F151&lt;&gt;"",NOT(COUNTIFS(Bills!$D$8:$D$507,C151,Bills!$C$8:$C$507,F151)&gt;0)),"⚠ Bill not found – treated as on account",IF(F151="","✔ On account","✔")))))))</f>
        <v/>
      </c>
      <c r="J151" s="9" t="n">
        <f aca="false">IF(C151="",0,IF(F151="",N(D151),IF(COUNTIFS(Bills!$D$8:$D$507,C151,Bills!$C$8:$C$507,F151)&gt;0,0,N(D151))))</f>
        <v>0</v>
      </c>
    </row>
    <row r="152" customFormat="false" ht="15" hidden="false" customHeight="false" outlineLevel="0" collapsed="false">
      <c r="A152" s="40" t="str">
        <f aca="false">IF(C152="","",ROW()-7)</f>
        <v/>
      </c>
      <c r="B152" s="79"/>
      <c r="C152" s="76"/>
      <c r="D152" s="80"/>
      <c r="E152" s="78"/>
      <c r="F152" s="75"/>
      <c r="G152" s="75"/>
      <c r="H152" s="76"/>
      <c r="I152" s="50" t="str">
        <f aca="false">IF(AND(C152="",B152="",D152=""),"",IF(C152="","⚠ Pick supplier",IF(ISNA(MATCH(C152,Suppliers!$B$7:$B$106,0)),"⚠ Supplier not in list",IF(B152="","⚠ Enter date",IF(N(D152)&lt;=0,"⚠ Enter amount",IF(AND(F152&lt;&gt;"",NOT(COUNTIFS(Bills!$D$8:$D$507,C152,Bills!$C$8:$C$507,F152)&gt;0)),"⚠ Bill not found – treated as on account",IF(F152="","✔ On account","✔")))))))</f>
        <v/>
      </c>
      <c r="J152" s="9" t="n">
        <f aca="false">IF(C152="",0,IF(F152="",N(D152),IF(COUNTIFS(Bills!$D$8:$D$507,C152,Bills!$C$8:$C$507,F152)&gt;0,0,N(D152))))</f>
        <v>0</v>
      </c>
    </row>
    <row r="153" customFormat="false" ht="15" hidden="false" customHeight="false" outlineLevel="0" collapsed="false">
      <c r="A153" s="40" t="str">
        <f aca="false">IF(C153="","",ROW()-7)</f>
        <v/>
      </c>
      <c r="B153" s="79"/>
      <c r="C153" s="76"/>
      <c r="D153" s="80"/>
      <c r="E153" s="78"/>
      <c r="F153" s="75"/>
      <c r="G153" s="75"/>
      <c r="H153" s="76"/>
      <c r="I153" s="50" t="str">
        <f aca="false">IF(AND(C153="",B153="",D153=""),"",IF(C153="","⚠ Pick supplier",IF(ISNA(MATCH(C153,Suppliers!$B$7:$B$106,0)),"⚠ Supplier not in list",IF(B153="","⚠ Enter date",IF(N(D153)&lt;=0,"⚠ Enter amount",IF(AND(F153&lt;&gt;"",NOT(COUNTIFS(Bills!$D$8:$D$507,C153,Bills!$C$8:$C$507,F153)&gt;0)),"⚠ Bill not found – treated as on account",IF(F153="","✔ On account","✔")))))))</f>
        <v/>
      </c>
      <c r="J153" s="9" t="n">
        <f aca="false">IF(C153="",0,IF(F153="",N(D153),IF(COUNTIFS(Bills!$D$8:$D$507,C153,Bills!$C$8:$C$507,F153)&gt;0,0,N(D153))))</f>
        <v>0</v>
      </c>
    </row>
    <row r="154" customFormat="false" ht="15" hidden="false" customHeight="false" outlineLevel="0" collapsed="false">
      <c r="A154" s="40" t="str">
        <f aca="false">IF(C154="","",ROW()-7)</f>
        <v/>
      </c>
      <c r="B154" s="79"/>
      <c r="C154" s="76"/>
      <c r="D154" s="80"/>
      <c r="E154" s="78"/>
      <c r="F154" s="75"/>
      <c r="G154" s="75"/>
      <c r="H154" s="76"/>
      <c r="I154" s="50" t="str">
        <f aca="false">IF(AND(C154="",B154="",D154=""),"",IF(C154="","⚠ Pick supplier",IF(ISNA(MATCH(C154,Suppliers!$B$7:$B$106,0)),"⚠ Supplier not in list",IF(B154="","⚠ Enter date",IF(N(D154)&lt;=0,"⚠ Enter amount",IF(AND(F154&lt;&gt;"",NOT(COUNTIFS(Bills!$D$8:$D$507,C154,Bills!$C$8:$C$507,F154)&gt;0)),"⚠ Bill not found – treated as on account",IF(F154="","✔ On account","✔")))))))</f>
        <v/>
      </c>
      <c r="J154" s="9" t="n">
        <f aca="false">IF(C154="",0,IF(F154="",N(D154),IF(COUNTIFS(Bills!$D$8:$D$507,C154,Bills!$C$8:$C$507,F154)&gt;0,0,N(D154))))</f>
        <v>0</v>
      </c>
    </row>
    <row r="155" customFormat="false" ht="15" hidden="false" customHeight="false" outlineLevel="0" collapsed="false">
      <c r="A155" s="40" t="str">
        <f aca="false">IF(C155="","",ROW()-7)</f>
        <v/>
      </c>
      <c r="B155" s="79"/>
      <c r="C155" s="76"/>
      <c r="D155" s="80"/>
      <c r="E155" s="78"/>
      <c r="F155" s="75"/>
      <c r="G155" s="75"/>
      <c r="H155" s="76"/>
      <c r="I155" s="50" t="str">
        <f aca="false">IF(AND(C155="",B155="",D155=""),"",IF(C155="","⚠ Pick supplier",IF(ISNA(MATCH(C155,Suppliers!$B$7:$B$106,0)),"⚠ Supplier not in list",IF(B155="","⚠ Enter date",IF(N(D155)&lt;=0,"⚠ Enter amount",IF(AND(F155&lt;&gt;"",NOT(COUNTIFS(Bills!$D$8:$D$507,C155,Bills!$C$8:$C$507,F155)&gt;0)),"⚠ Bill not found – treated as on account",IF(F155="","✔ On account","✔")))))))</f>
        <v/>
      </c>
      <c r="J155" s="9" t="n">
        <f aca="false">IF(C155="",0,IF(F155="",N(D155),IF(COUNTIFS(Bills!$D$8:$D$507,C155,Bills!$C$8:$C$507,F155)&gt;0,0,N(D155))))</f>
        <v>0</v>
      </c>
    </row>
    <row r="156" customFormat="false" ht="15" hidden="false" customHeight="false" outlineLevel="0" collapsed="false">
      <c r="A156" s="40" t="str">
        <f aca="false">IF(C156="","",ROW()-7)</f>
        <v/>
      </c>
      <c r="B156" s="79"/>
      <c r="C156" s="76"/>
      <c r="D156" s="80"/>
      <c r="E156" s="78"/>
      <c r="F156" s="75"/>
      <c r="G156" s="75"/>
      <c r="H156" s="76"/>
      <c r="I156" s="50" t="str">
        <f aca="false">IF(AND(C156="",B156="",D156=""),"",IF(C156="","⚠ Pick supplier",IF(ISNA(MATCH(C156,Suppliers!$B$7:$B$106,0)),"⚠ Supplier not in list",IF(B156="","⚠ Enter date",IF(N(D156)&lt;=0,"⚠ Enter amount",IF(AND(F156&lt;&gt;"",NOT(COUNTIFS(Bills!$D$8:$D$507,C156,Bills!$C$8:$C$507,F156)&gt;0)),"⚠ Bill not found – treated as on account",IF(F156="","✔ On account","✔")))))))</f>
        <v/>
      </c>
      <c r="J156" s="9" t="n">
        <f aca="false">IF(C156="",0,IF(F156="",N(D156),IF(COUNTIFS(Bills!$D$8:$D$507,C156,Bills!$C$8:$C$507,F156)&gt;0,0,N(D156))))</f>
        <v>0</v>
      </c>
    </row>
    <row r="157" customFormat="false" ht="15" hidden="false" customHeight="false" outlineLevel="0" collapsed="false">
      <c r="A157" s="40" t="str">
        <f aca="false">IF(C157="","",ROW()-7)</f>
        <v/>
      </c>
      <c r="B157" s="79"/>
      <c r="C157" s="76"/>
      <c r="D157" s="80"/>
      <c r="E157" s="78"/>
      <c r="F157" s="75"/>
      <c r="G157" s="75"/>
      <c r="H157" s="76"/>
      <c r="I157" s="50" t="str">
        <f aca="false">IF(AND(C157="",B157="",D157=""),"",IF(C157="","⚠ Pick supplier",IF(ISNA(MATCH(C157,Suppliers!$B$7:$B$106,0)),"⚠ Supplier not in list",IF(B157="","⚠ Enter date",IF(N(D157)&lt;=0,"⚠ Enter amount",IF(AND(F157&lt;&gt;"",NOT(COUNTIFS(Bills!$D$8:$D$507,C157,Bills!$C$8:$C$507,F157)&gt;0)),"⚠ Bill not found – treated as on account",IF(F157="","✔ On account","✔")))))))</f>
        <v/>
      </c>
      <c r="J157" s="9" t="n">
        <f aca="false">IF(C157="",0,IF(F157="",N(D157),IF(COUNTIFS(Bills!$D$8:$D$507,C157,Bills!$C$8:$C$507,F157)&gt;0,0,N(D157))))</f>
        <v>0</v>
      </c>
    </row>
    <row r="158" customFormat="false" ht="15" hidden="false" customHeight="false" outlineLevel="0" collapsed="false">
      <c r="A158" s="40" t="str">
        <f aca="false">IF(C158="","",ROW()-7)</f>
        <v/>
      </c>
      <c r="B158" s="79"/>
      <c r="C158" s="76"/>
      <c r="D158" s="80"/>
      <c r="E158" s="78"/>
      <c r="F158" s="75"/>
      <c r="G158" s="75"/>
      <c r="H158" s="76"/>
      <c r="I158" s="50" t="str">
        <f aca="false">IF(AND(C158="",B158="",D158=""),"",IF(C158="","⚠ Pick supplier",IF(ISNA(MATCH(C158,Suppliers!$B$7:$B$106,0)),"⚠ Supplier not in list",IF(B158="","⚠ Enter date",IF(N(D158)&lt;=0,"⚠ Enter amount",IF(AND(F158&lt;&gt;"",NOT(COUNTIFS(Bills!$D$8:$D$507,C158,Bills!$C$8:$C$507,F158)&gt;0)),"⚠ Bill not found – treated as on account",IF(F158="","✔ On account","✔")))))))</f>
        <v/>
      </c>
      <c r="J158" s="9" t="n">
        <f aca="false">IF(C158="",0,IF(F158="",N(D158),IF(COUNTIFS(Bills!$D$8:$D$507,C158,Bills!$C$8:$C$507,F158)&gt;0,0,N(D158))))</f>
        <v>0</v>
      </c>
    </row>
    <row r="159" customFormat="false" ht="15" hidden="false" customHeight="false" outlineLevel="0" collapsed="false">
      <c r="A159" s="40" t="str">
        <f aca="false">IF(C159="","",ROW()-7)</f>
        <v/>
      </c>
      <c r="B159" s="79"/>
      <c r="C159" s="76"/>
      <c r="D159" s="80"/>
      <c r="E159" s="78"/>
      <c r="F159" s="75"/>
      <c r="G159" s="75"/>
      <c r="H159" s="76"/>
      <c r="I159" s="50" t="str">
        <f aca="false">IF(AND(C159="",B159="",D159=""),"",IF(C159="","⚠ Pick supplier",IF(ISNA(MATCH(C159,Suppliers!$B$7:$B$106,0)),"⚠ Supplier not in list",IF(B159="","⚠ Enter date",IF(N(D159)&lt;=0,"⚠ Enter amount",IF(AND(F159&lt;&gt;"",NOT(COUNTIFS(Bills!$D$8:$D$507,C159,Bills!$C$8:$C$507,F159)&gt;0)),"⚠ Bill not found – treated as on account",IF(F159="","✔ On account","✔")))))))</f>
        <v/>
      </c>
      <c r="J159" s="9" t="n">
        <f aca="false">IF(C159="",0,IF(F159="",N(D159),IF(COUNTIFS(Bills!$D$8:$D$507,C159,Bills!$C$8:$C$507,F159)&gt;0,0,N(D159))))</f>
        <v>0</v>
      </c>
    </row>
    <row r="160" customFormat="false" ht="15" hidden="false" customHeight="false" outlineLevel="0" collapsed="false">
      <c r="A160" s="40" t="str">
        <f aca="false">IF(C160="","",ROW()-7)</f>
        <v/>
      </c>
      <c r="B160" s="79"/>
      <c r="C160" s="76"/>
      <c r="D160" s="80"/>
      <c r="E160" s="78"/>
      <c r="F160" s="75"/>
      <c r="G160" s="75"/>
      <c r="H160" s="76"/>
      <c r="I160" s="50" t="str">
        <f aca="false">IF(AND(C160="",B160="",D160=""),"",IF(C160="","⚠ Pick supplier",IF(ISNA(MATCH(C160,Suppliers!$B$7:$B$106,0)),"⚠ Supplier not in list",IF(B160="","⚠ Enter date",IF(N(D160)&lt;=0,"⚠ Enter amount",IF(AND(F160&lt;&gt;"",NOT(COUNTIFS(Bills!$D$8:$D$507,C160,Bills!$C$8:$C$507,F160)&gt;0)),"⚠ Bill not found – treated as on account",IF(F160="","✔ On account","✔")))))))</f>
        <v/>
      </c>
      <c r="J160" s="9" t="n">
        <f aca="false">IF(C160="",0,IF(F160="",N(D160),IF(COUNTIFS(Bills!$D$8:$D$507,C160,Bills!$C$8:$C$507,F160)&gt;0,0,N(D160))))</f>
        <v>0</v>
      </c>
    </row>
    <row r="161" customFormat="false" ht="15" hidden="false" customHeight="false" outlineLevel="0" collapsed="false">
      <c r="A161" s="40" t="str">
        <f aca="false">IF(C161="","",ROW()-7)</f>
        <v/>
      </c>
      <c r="B161" s="79"/>
      <c r="C161" s="76"/>
      <c r="D161" s="80"/>
      <c r="E161" s="78"/>
      <c r="F161" s="75"/>
      <c r="G161" s="75"/>
      <c r="H161" s="76"/>
      <c r="I161" s="50" t="str">
        <f aca="false">IF(AND(C161="",B161="",D161=""),"",IF(C161="","⚠ Pick supplier",IF(ISNA(MATCH(C161,Suppliers!$B$7:$B$106,0)),"⚠ Supplier not in list",IF(B161="","⚠ Enter date",IF(N(D161)&lt;=0,"⚠ Enter amount",IF(AND(F161&lt;&gt;"",NOT(COUNTIFS(Bills!$D$8:$D$507,C161,Bills!$C$8:$C$507,F161)&gt;0)),"⚠ Bill not found – treated as on account",IF(F161="","✔ On account","✔")))))))</f>
        <v/>
      </c>
      <c r="J161" s="9" t="n">
        <f aca="false">IF(C161="",0,IF(F161="",N(D161),IF(COUNTIFS(Bills!$D$8:$D$507,C161,Bills!$C$8:$C$507,F161)&gt;0,0,N(D161))))</f>
        <v>0</v>
      </c>
    </row>
    <row r="162" customFormat="false" ht="15" hidden="false" customHeight="false" outlineLevel="0" collapsed="false">
      <c r="A162" s="40" t="str">
        <f aca="false">IF(C162="","",ROW()-7)</f>
        <v/>
      </c>
      <c r="B162" s="79"/>
      <c r="C162" s="76"/>
      <c r="D162" s="80"/>
      <c r="E162" s="78"/>
      <c r="F162" s="75"/>
      <c r="G162" s="75"/>
      <c r="H162" s="76"/>
      <c r="I162" s="50" t="str">
        <f aca="false">IF(AND(C162="",B162="",D162=""),"",IF(C162="","⚠ Pick supplier",IF(ISNA(MATCH(C162,Suppliers!$B$7:$B$106,0)),"⚠ Supplier not in list",IF(B162="","⚠ Enter date",IF(N(D162)&lt;=0,"⚠ Enter amount",IF(AND(F162&lt;&gt;"",NOT(COUNTIFS(Bills!$D$8:$D$507,C162,Bills!$C$8:$C$507,F162)&gt;0)),"⚠ Bill not found – treated as on account",IF(F162="","✔ On account","✔")))))))</f>
        <v/>
      </c>
      <c r="J162" s="9" t="n">
        <f aca="false">IF(C162="",0,IF(F162="",N(D162),IF(COUNTIFS(Bills!$D$8:$D$507,C162,Bills!$C$8:$C$507,F162)&gt;0,0,N(D162))))</f>
        <v>0</v>
      </c>
    </row>
    <row r="163" customFormat="false" ht="15" hidden="false" customHeight="false" outlineLevel="0" collapsed="false">
      <c r="A163" s="40" t="str">
        <f aca="false">IF(C163="","",ROW()-7)</f>
        <v/>
      </c>
      <c r="B163" s="79"/>
      <c r="C163" s="76"/>
      <c r="D163" s="80"/>
      <c r="E163" s="78"/>
      <c r="F163" s="75"/>
      <c r="G163" s="75"/>
      <c r="H163" s="76"/>
      <c r="I163" s="50" t="str">
        <f aca="false">IF(AND(C163="",B163="",D163=""),"",IF(C163="","⚠ Pick supplier",IF(ISNA(MATCH(C163,Suppliers!$B$7:$B$106,0)),"⚠ Supplier not in list",IF(B163="","⚠ Enter date",IF(N(D163)&lt;=0,"⚠ Enter amount",IF(AND(F163&lt;&gt;"",NOT(COUNTIFS(Bills!$D$8:$D$507,C163,Bills!$C$8:$C$507,F163)&gt;0)),"⚠ Bill not found – treated as on account",IF(F163="","✔ On account","✔")))))))</f>
        <v/>
      </c>
      <c r="J163" s="9" t="n">
        <f aca="false">IF(C163="",0,IF(F163="",N(D163),IF(COUNTIFS(Bills!$D$8:$D$507,C163,Bills!$C$8:$C$507,F163)&gt;0,0,N(D163))))</f>
        <v>0</v>
      </c>
    </row>
    <row r="164" customFormat="false" ht="15" hidden="false" customHeight="false" outlineLevel="0" collapsed="false">
      <c r="A164" s="40" t="str">
        <f aca="false">IF(C164="","",ROW()-7)</f>
        <v/>
      </c>
      <c r="B164" s="79"/>
      <c r="C164" s="76"/>
      <c r="D164" s="80"/>
      <c r="E164" s="78"/>
      <c r="F164" s="75"/>
      <c r="G164" s="75"/>
      <c r="H164" s="76"/>
      <c r="I164" s="50" t="str">
        <f aca="false">IF(AND(C164="",B164="",D164=""),"",IF(C164="","⚠ Pick supplier",IF(ISNA(MATCH(C164,Suppliers!$B$7:$B$106,0)),"⚠ Supplier not in list",IF(B164="","⚠ Enter date",IF(N(D164)&lt;=0,"⚠ Enter amount",IF(AND(F164&lt;&gt;"",NOT(COUNTIFS(Bills!$D$8:$D$507,C164,Bills!$C$8:$C$507,F164)&gt;0)),"⚠ Bill not found – treated as on account",IF(F164="","✔ On account","✔")))))))</f>
        <v/>
      </c>
      <c r="J164" s="9" t="n">
        <f aca="false">IF(C164="",0,IF(F164="",N(D164),IF(COUNTIFS(Bills!$D$8:$D$507,C164,Bills!$C$8:$C$507,F164)&gt;0,0,N(D164))))</f>
        <v>0</v>
      </c>
    </row>
    <row r="165" customFormat="false" ht="15" hidden="false" customHeight="false" outlineLevel="0" collapsed="false">
      <c r="A165" s="40" t="str">
        <f aca="false">IF(C165="","",ROW()-7)</f>
        <v/>
      </c>
      <c r="B165" s="79"/>
      <c r="C165" s="76"/>
      <c r="D165" s="80"/>
      <c r="E165" s="78"/>
      <c r="F165" s="75"/>
      <c r="G165" s="75"/>
      <c r="H165" s="76"/>
      <c r="I165" s="50" t="str">
        <f aca="false">IF(AND(C165="",B165="",D165=""),"",IF(C165="","⚠ Pick supplier",IF(ISNA(MATCH(C165,Suppliers!$B$7:$B$106,0)),"⚠ Supplier not in list",IF(B165="","⚠ Enter date",IF(N(D165)&lt;=0,"⚠ Enter amount",IF(AND(F165&lt;&gt;"",NOT(COUNTIFS(Bills!$D$8:$D$507,C165,Bills!$C$8:$C$507,F165)&gt;0)),"⚠ Bill not found – treated as on account",IF(F165="","✔ On account","✔")))))))</f>
        <v/>
      </c>
      <c r="J165" s="9" t="n">
        <f aca="false">IF(C165="",0,IF(F165="",N(D165),IF(COUNTIFS(Bills!$D$8:$D$507,C165,Bills!$C$8:$C$507,F165)&gt;0,0,N(D165))))</f>
        <v>0</v>
      </c>
    </row>
    <row r="166" customFormat="false" ht="15" hidden="false" customHeight="false" outlineLevel="0" collapsed="false">
      <c r="A166" s="40" t="str">
        <f aca="false">IF(C166="","",ROW()-7)</f>
        <v/>
      </c>
      <c r="B166" s="79"/>
      <c r="C166" s="76"/>
      <c r="D166" s="80"/>
      <c r="E166" s="78"/>
      <c r="F166" s="75"/>
      <c r="G166" s="75"/>
      <c r="H166" s="76"/>
      <c r="I166" s="50" t="str">
        <f aca="false">IF(AND(C166="",B166="",D166=""),"",IF(C166="","⚠ Pick supplier",IF(ISNA(MATCH(C166,Suppliers!$B$7:$B$106,0)),"⚠ Supplier not in list",IF(B166="","⚠ Enter date",IF(N(D166)&lt;=0,"⚠ Enter amount",IF(AND(F166&lt;&gt;"",NOT(COUNTIFS(Bills!$D$8:$D$507,C166,Bills!$C$8:$C$507,F166)&gt;0)),"⚠ Bill not found – treated as on account",IF(F166="","✔ On account","✔")))))))</f>
        <v/>
      </c>
      <c r="J166" s="9" t="n">
        <f aca="false">IF(C166="",0,IF(F166="",N(D166),IF(COUNTIFS(Bills!$D$8:$D$507,C166,Bills!$C$8:$C$507,F166)&gt;0,0,N(D166))))</f>
        <v>0</v>
      </c>
    </row>
    <row r="167" customFormat="false" ht="15" hidden="false" customHeight="false" outlineLevel="0" collapsed="false">
      <c r="A167" s="40" t="str">
        <f aca="false">IF(C167="","",ROW()-7)</f>
        <v/>
      </c>
      <c r="B167" s="79"/>
      <c r="C167" s="76"/>
      <c r="D167" s="80"/>
      <c r="E167" s="78"/>
      <c r="F167" s="75"/>
      <c r="G167" s="75"/>
      <c r="H167" s="76"/>
      <c r="I167" s="50" t="str">
        <f aca="false">IF(AND(C167="",B167="",D167=""),"",IF(C167="","⚠ Pick supplier",IF(ISNA(MATCH(C167,Suppliers!$B$7:$B$106,0)),"⚠ Supplier not in list",IF(B167="","⚠ Enter date",IF(N(D167)&lt;=0,"⚠ Enter amount",IF(AND(F167&lt;&gt;"",NOT(COUNTIFS(Bills!$D$8:$D$507,C167,Bills!$C$8:$C$507,F167)&gt;0)),"⚠ Bill not found – treated as on account",IF(F167="","✔ On account","✔")))))))</f>
        <v/>
      </c>
      <c r="J167" s="9" t="n">
        <f aca="false">IF(C167="",0,IF(F167="",N(D167),IF(COUNTIFS(Bills!$D$8:$D$507,C167,Bills!$C$8:$C$507,F167)&gt;0,0,N(D167))))</f>
        <v>0</v>
      </c>
    </row>
    <row r="168" customFormat="false" ht="15" hidden="false" customHeight="false" outlineLevel="0" collapsed="false">
      <c r="A168" s="40" t="str">
        <f aca="false">IF(C168="","",ROW()-7)</f>
        <v/>
      </c>
      <c r="B168" s="79"/>
      <c r="C168" s="76"/>
      <c r="D168" s="80"/>
      <c r="E168" s="78"/>
      <c r="F168" s="75"/>
      <c r="G168" s="75"/>
      <c r="H168" s="76"/>
      <c r="I168" s="50" t="str">
        <f aca="false">IF(AND(C168="",B168="",D168=""),"",IF(C168="","⚠ Pick supplier",IF(ISNA(MATCH(C168,Suppliers!$B$7:$B$106,0)),"⚠ Supplier not in list",IF(B168="","⚠ Enter date",IF(N(D168)&lt;=0,"⚠ Enter amount",IF(AND(F168&lt;&gt;"",NOT(COUNTIFS(Bills!$D$8:$D$507,C168,Bills!$C$8:$C$507,F168)&gt;0)),"⚠ Bill not found – treated as on account",IF(F168="","✔ On account","✔")))))))</f>
        <v/>
      </c>
      <c r="J168" s="9" t="n">
        <f aca="false">IF(C168="",0,IF(F168="",N(D168),IF(COUNTIFS(Bills!$D$8:$D$507,C168,Bills!$C$8:$C$507,F168)&gt;0,0,N(D168))))</f>
        <v>0</v>
      </c>
    </row>
    <row r="169" customFormat="false" ht="15" hidden="false" customHeight="false" outlineLevel="0" collapsed="false">
      <c r="A169" s="40" t="str">
        <f aca="false">IF(C169="","",ROW()-7)</f>
        <v/>
      </c>
      <c r="B169" s="79"/>
      <c r="C169" s="76"/>
      <c r="D169" s="80"/>
      <c r="E169" s="78"/>
      <c r="F169" s="75"/>
      <c r="G169" s="75"/>
      <c r="H169" s="76"/>
      <c r="I169" s="50" t="str">
        <f aca="false">IF(AND(C169="",B169="",D169=""),"",IF(C169="","⚠ Pick supplier",IF(ISNA(MATCH(C169,Suppliers!$B$7:$B$106,0)),"⚠ Supplier not in list",IF(B169="","⚠ Enter date",IF(N(D169)&lt;=0,"⚠ Enter amount",IF(AND(F169&lt;&gt;"",NOT(COUNTIFS(Bills!$D$8:$D$507,C169,Bills!$C$8:$C$507,F169)&gt;0)),"⚠ Bill not found – treated as on account",IF(F169="","✔ On account","✔")))))))</f>
        <v/>
      </c>
      <c r="J169" s="9" t="n">
        <f aca="false">IF(C169="",0,IF(F169="",N(D169),IF(COUNTIFS(Bills!$D$8:$D$507,C169,Bills!$C$8:$C$507,F169)&gt;0,0,N(D169))))</f>
        <v>0</v>
      </c>
    </row>
    <row r="170" customFormat="false" ht="15" hidden="false" customHeight="false" outlineLevel="0" collapsed="false">
      <c r="A170" s="40" t="str">
        <f aca="false">IF(C170="","",ROW()-7)</f>
        <v/>
      </c>
      <c r="B170" s="79"/>
      <c r="C170" s="76"/>
      <c r="D170" s="80"/>
      <c r="E170" s="78"/>
      <c r="F170" s="75"/>
      <c r="G170" s="75"/>
      <c r="H170" s="76"/>
      <c r="I170" s="50" t="str">
        <f aca="false">IF(AND(C170="",B170="",D170=""),"",IF(C170="","⚠ Pick supplier",IF(ISNA(MATCH(C170,Suppliers!$B$7:$B$106,0)),"⚠ Supplier not in list",IF(B170="","⚠ Enter date",IF(N(D170)&lt;=0,"⚠ Enter amount",IF(AND(F170&lt;&gt;"",NOT(COUNTIFS(Bills!$D$8:$D$507,C170,Bills!$C$8:$C$507,F170)&gt;0)),"⚠ Bill not found – treated as on account",IF(F170="","✔ On account","✔")))))))</f>
        <v/>
      </c>
      <c r="J170" s="9" t="n">
        <f aca="false">IF(C170="",0,IF(F170="",N(D170),IF(COUNTIFS(Bills!$D$8:$D$507,C170,Bills!$C$8:$C$507,F170)&gt;0,0,N(D170))))</f>
        <v>0</v>
      </c>
    </row>
    <row r="171" customFormat="false" ht="15" hidden="false" customHeight="false" outlineLevel="0" collapsed="false">
      <c r="A171" s="40" t="str">
        <f aca="false">IF(C171="","",ROW()-7)</f>
        <v/>
      </c>
      <c r="B171" s="79"/>
      <c r="C171" s="76"/>
      <c r="D171" s="80"/>
      <c r="E171" s="78"/>
      <c r="F171" s="75"/>
      <c r="G171" s="75"/>
      <c r="H171" s="76"/>
      <c r="I171" s="50" t="str">
        <f aca="false">IF(AND(C171="",B171="",D171=""),"",IF(C171="","⚠ Pick supplier",IF(ISNA(MATCH(C171,Suppliers!$B$7:$B$106,0)),"⚠ Supplier not in list",IF(B171="","⚠ Enter date",IF(N(D171)&lt;=0,"⚠ Enter amount",IF(AND(F171&lt;&gt;"",NOT(COUNTIFS(Bills!$D$8:$D$507,C171,Bills!$C$8:$C$507,F171)&gt;0)),"⚠ Bill not found – treated as on account",IF(F171="","✔ On account","✔")))))))</f>
        <v/>
      </c>
      <c r="J171" s="9" t="n">
        <f aca="false">IF(C171="",0,IF(F171="",N(D171),IF(COUNTIFS(Bills!$D$8:$D$507,C171,Bills!$C$8:$C$507,F171)&gt;0,0,N(D171))))</f>
        <v>0</v>
      </c>
    </row>
    <row r="172" customFormat="false" ht="15" hidden="false" customHeight="false" outlineLevel="0" collapsed="false">
      <c r="A172" s="40" t="str">
        <f aca="false">IF(C172="","",ROW()-7)</f>
        <v/>
      </c>
      <c r="B172" s="79"/>
      <c r="C172" s="76"/>
      <c r="D172" s="80"/>
      <c r="E172" s="78"/>
      <c r="F172" s="75"/>
      <c r="G172" s="75"/>
      <c r="H172" s="76"/>
      <c r="I172" s="50" t="str">
        <f aca="false">IF(AND(C172="",B172="",D172=""),"",IF(C172="","⚠ Pick supplier",IF(ISNA(MATCH(C172,Suppliers!$B$7:$B$106,0)),"⚠ Supplier not in list",IF(B172="","⚠ Enter date",IF(N(D172)&lt;=0,"⚠ Enter amount",IF(AND(F172&lt;&gt;"",NOT(COUNTIFS(Bills!$D$8:$D$507,C172,Bills!$C$8:$C$507,F172)&gt;0)),"⚠ Bill not found – treated as on account",IF(F172="","✔ On account","✔")))))))</f>
        <v/>
      </c>
      <c r="J172" s="9" t="n">
        <f aca="false">IF(C172="",0,IF(F172="",N(D172),IF(COUNTIFS(Bills!$D$8:$D$507,C172,Bills!$C$8:$C$507,F172)&gt;0,0,N(D172))))</f>
        <v>0</v>
      </c>
    </row>
    <row r="173" customFormat="false" ht="15" hidden="false" customHeight="false" outlineLevel="0" collapsed="false">
      <c r="A173" s="40" t="str">
        <f aca="false">IF(C173="","",ROW()-7)</f>
        <v/>
      </c>
      <c r="B173" s="79"/>
      <c r="C173" s="76"/>
      <c r="D173" s="80"/>
      <c r="E173" s="78"/>
      <c r="F173" s="75"/>
      <c r="G173" s="75"/>
      <c r="H173" s="76"/>
      <c r="I173" s="50" t="str">
        <f aca="false">IF(AND(C173="",B173="",D173=""),"",IF(C173="","⚠ Pick supplier",IF(ISNA(MATCH(C173,Suppliers!$B$7:$B$106,0)),"⚠ Supplier not in list",IF(B173="","⚠ Enter date",IF(N(D173)&lt;=0,"⚠ Enter amount",IF(AND(F173&lt;&gt;"",NOT(COUNTIFS(Bills!$D$8:$D$507,C173,Bills!$C$8:$C$507,F173)&gt;0)),"⚠ Bill not found – treated as on account",IF(F173="","✔ On account","✔")))))))</f>
        <v/>
      </c>
      <c r="J173" s="9" t="n">
        <f aca="false">IF(C173="",0,IF(F173="",N(D173),IF(COUNTIFS(Bills!$D$8:$D$507,C173,Bills!$C$8:$C$507,F173)&gt;0,0,N(D173))))</f>
        <v>0</v>
      </c>
    </row>
    <row r="174" customFormat="false" ht="15" hidden="false" customHeight="false" outlineLevel="0" collapsed="false">
      <c r="A174" s="40" t="str">
        <f aca="false">IF(C174="","",ROW()-7)</f>
        <v/>
      </c>
      <c r="B174" s="79"/>
      <c r="C174" s="76"/>
      <c r="D174" s="80"/>
      <c r="E174" s="78"/>
      <c r="F174" s="75"/>
      <c r="G174" s="75"/>
      <c r="H174" s="76"/>
      <c r="I174" s="50" t="str">
        <f aca="false">IF(AND(C174="",B174="",D174=""),"",IF(C174="","⚠ Pick supplier",IF(ISNA(MATCH(C174,Suppliers!$B$7:$B$106,0)),"⚠ Supplier not in list",IF(B174="","⚠ Enter date",IF(N(D174)&lt;=0,"⚠ Enter amount",IF(AND(F174&lt;&gt;"",NOT(COUNTIFS(Bills!$D$8:$D$507,C174,Bills!$C$8:$C$507,F174)&gt;0)),"⚠ Bill not found – treated as on account",IF(F174="","✔ On account","✔")))))))</f>
        <v/>
      </c>
      <c r="J174" s="9" t="n">
        <f aca="false">IF(C174="",0,IF(F174="",N(D174),IF(COUNTIFS(Bills!$D$8:$D$507,C174,Bills!$C$8:$C$507,F174)&gt;0,0,N(D174))))</f>
        <v>0</v>
      </c>
    </row>
    <row r="175" customFormat="false" ht="15" hidden="false" customHeight="false" outlineLevel="0" collapsed="false">
      <c r="A175" s="40" t="str">
        <f aca="false">IF(C175="","",ROW()-7)</f>
        <v/>
      </c>
      <c r="B175" s="79"/>
      <c r="C175" s="76"/>
      <c r="D175" s="80"/>
      <c r="E175" s="78"/>
      <c r="F175" s="75"/>
      <c r="G175" s="75"/>
      <c r="H175" s="76"/>
      <c r="I175" s="50" t="str">
        <f aca="false">IF(AND(C175="",B175="",D175=""),"",IF(C175="","⚠ Pick supplier",IF(ISNA(MATCH(C175,Suppliers!$B$7:$B$106,0)),"⚠ Supplier not in list",IF(B175="","⚠ Enter date",IF(N(D175)&lt;=0,"⚠ Enter amount",IF(AND(F175&lt;&gt;"",NOT(COUNTIFS(Bills!$D$8:$D$507,C175,Bills!$C$8:$C$507,F175)&gt;0)),"⚠ Bill not found – treated as on account",IF(F175="","✔ On account","✔")))))))</f>
        <v/>
      </c>
      <c r="J175" s="9" t="n">
        <f aca="false">IF(C175="",0,IF(F175="",N(D175),IF(COUNTIFS(Bills!$D$8:$D$507,C175,Bills!$C$8:$C$507,F175)&gt;0,0,N(D175))))</f>
        <v>0</v>
      </c>
    </row>
    <row r="176" customFormat="false" ht="15" hidden="false" customHeight="false" outlineLevel="0" collapsed="false">
      <c r="A176" s="40" t="str">
        <f aca="false">IF(C176="","",ROW()-7)</f>
        <v/>
      </c>
      <c r="B176" s="79"/>
      <c r="C176" s="76"/>
      <c r="D176" s="80"/>
      <c r="E176" s="78"/>
      <c r="F176" s="75"/>
      <c r="G176" s="75"/>
      <c r="H176" s="76"/>
      <c r="I176" s="50" t="str">
        <f aca="false">IF(AND(C176="",B176="",D176=""),"",IF(C176="","⚠ Pick supplier",IF(ISNA(MATCH(C176,Suppliers!$B$7:$B$106,0)),"⚠ Supplier not in list",IF(B176="","⚠ Enter date",IF(N(D176)&lt;=0,"⚠ Enter amount",IF(AND(F176&lt;&gt;"",NOT(COUNTIFS(Bills!$D$8:$D$507,C176,Bills!$C$8:$C$507,F176)&gt;0)),"⚠ Bill not found – treated as on account",IF(F176="","✔ On account","✔")))))))</f>
        <v/>
      </c>
      <c r="J176" s="9" t="n">
        <f aca="false">IF(C176="",0,IF(F176="",N(D176),IF(COUNTIFS(Bills!$D$8:$D$507,C176,Bills!$C$8:$C$507,F176)&gt;0,0,N(D176))))</f>
        <v>0</v>
      </c>
    </row>
    <row r="177" customFormat="false" ht="15" hidden="false" customHeight="false" outlineLevel="0" collapsed="false">
      <c r="A177" s="40" t="str">
        <f aca="false">IF(C177="","",ROW()-7)</f>
        <v/>
      </c>
      <c r="B177" s="79"/>
      <c r="C177" s="76"/>
      <c r="D177" s="80"/>
      <c r="E177" s="78"/>
      <c r="F177" s="75"/>
      <c r="G177" s="75"/>
      <c r="H177" s="76"/>
      <c r="I177" s="50" t="str">
        <f aca="false">IF(AND(C177="",B177="",D177=""),"",IF(C177="","⚠ Pick supplier",IF(ISNA(MATCH(C177,Suppliers!$B$7:$B$106,0)),"⚠ Supplier not in list",IF(B177="","⚠ Enter date",IF(N(D177)&lt;=0,"⚠ Enter amount",IF(AND(F177&lt;&gt;"",NOT(COUNTIFS(Bills!$D$8:$D$507,C177,Bills!$C$8:$C$507,F177)&gt;0)),"⚠ Bill not found – treated as on account",IF(F177="","✔ On account","✔")))))))</f>
        <v/>
      </c>
      <c r="J177" s="9" t="n">
        <f aca="false">IF(C177="",0,IF(F177="",N(D177),IF(COUNTIFS(Bills!$D$8:$D$507,C177,Bills!$C$8:$C$507,F177)&gt;0,0,N(D177))))</f>
        <v>0</v>
      </c>
    </row>
    <row r="178" customFormat="false" ht="15" hidden="false" customHeight="false" outlineLevel="0" collapsed="false">
      <c r="A178" s="40" t="str">
        <f aca="false">IF(C178="","",ROW()-7)</f>
        <v/>
      </c>
      <c r="B178" s="79"/>
      <c r="C178" s="76"/>
      <c r="D178" s="80"/>
      <c r="E178" s="78"/>
      <c r="F178" s="75"/>
      <c r="G178" s="75"/>
      <c r="H178" s="76"/>
      <c r="I178" s="50" t="str">
        <f aca="false">IF(AND(C178="",B178="",D178=""),"",IF(C178="","⚠ Pick supplier",IF(ISNA(MATCH(C178,Suppliers!$B$7:$B$106,0)),"⚠ Supplier not in list",IF(B178="","⚠ Enter date",IF(N(D178)&lt;=0,"⚠ Enter amount",IF(AND(F178&lt;&gt;"",NOT(COUNTIFS(Bills!$D$8:$D$507,C178,Bills!$C$8:$C$507,F178)&gt;0)),"⚠ Bill not found – treated as on account",IF(F178="","✔ On account","✔")))))))</f>
        <v/>
      </c>
      <c r="J178" s="9" t="n">
        <f aca="false">IF(C178="",0,IF(F178="",N(D178),IF(COUNTIFS(Bills!$D$8:$D$507,C178,Bills!$C$8:$C$507,F178)&gt;0,0,N(D178))))</f>
        <v>0</v>
      </c>
    </row>
    <row r="179" customFormat="false" ht="15" hidden="false" customHeight="false" outlineLevel="0" collapsed="false">
      <c r="A179" s="40" t="str">
        <f aca="false">IF(C179="","",ROW()-7)</f>
        <v/>
      </c>
      <c r="B179" s="79"/>
      <c r="C179" s="76"/>
      <c r="D179" s="80"/>
      <c r="E179" s="78"/>
      <c r="F179" s="75"/>
      <c r="G179" s="75"/>
      <c r="H179" s="76"/>
      <c r="I179" s="50" t="str">
        <f aca="false">IF(AND(C179="",B179="",D179=""),"",IF(C179="","⚠ Pick supplier",IF(ISNA(MATCH(C179,Suppliers!$B$7:$B$106,0)),"⚠ Supplier not in list",IF(B179="","⚠ Enter date",IF(N(D179)&lt;=0,"⚠ Enter amount",IF(AND(F179&lt;&gt;"",NOT(COUNTIFS(Bills!$D$8:$D$507,C179,Bills!$C$8:$C$507,F179)&gt;0)),"⚠ Bill not found – treated as on account",IF(F179="","✔ On account","✔")))))))</f>
        <v/>
      </c>
      <c r="J179" s="9" t="n">
        <f aca="false">IF(C179="",0,IF(F179="",N(D179),IF(COUNTIFS(Bills!$D$8:$D$507,C179,Bills!$C$8:$C$507,F179)&gt;0,0,N(D179))))</f>
        <v>0</v>
      </c>
    </row>
    <row r="180" customFormat="false" ht="15" hidden="false" customHeight="false" outlineLevel="0" collapsed="false">
      <c r="A180" s="40" t="str">
        <f aca="false">IF(C180="","",ROW()-7)</f>
        <v/>
      </c>
      <c r="B180" s="79"/>
      <c r="C180" s="76"/>
      <c r="D180" s="80"/>
      <c r="E180" s="78"/>
      <c r="F180" s="75"/>
      <c r="G180" s="75"/>
      <c r="H180" s="76"/>
      <c r="I180" s="50" t="str">
        <f aca="false">IF(AND(C180="",B180="",D180=""),"",IF(C180="","⚠ Pick supplier",IF(ISNA(MATCH(C180,Suppliers!$B$7:$B$106,0)),"⚠ Supplier not in list",IF(B180="","⚠ Enter date",IF(N(D180)&lt;=0,"⚠ Enter amount",IF(AND(F180&lt;&gt;"",NOT(COUNTIFS(Bills!$D$8:$D$507,C180,Bills!$C$8:$C$507,F180)&gt;0)),"⚠ Bill not found – treated as on account",IF(F180="","✔ On account","✔")))))))</f>
        <v/>
      </c>
      <c r="J180" s="9" t="n">
        <f aca="false">IF(C180="",0,IF(F180="",N(D180),IF(COUNTIFS(Bills!$D$8:$D$507,C180,Bills!$C$8:$C$507,F180)&gt;0,0,N(D180))))</f>
        <v>0</v>
      </c>
    </row>
    <row r="181" customFormat="false" ht="15" hidden="false" customHeight="false" outlineLevel="0" collapsed="false">
      <c r="A181" s="40" t="str">
        <f aca="false">IF(C181="","",ROW()-7)</f>
        <v/>
      </c>
      <c r="B181" s="79"/>
      <c r="C181" s="76"/>
      <c r="D181" s="80"/>
      <c r="E181" s="78"/>
      <c r="F181" s="75"/>
      <c r="G181" s="75"/>
      <c r="H181" s="76"/>
      <c r="I181" s="50" t="str">
        <f aca="false">IF(AND(C181="",B181="",D181=""),"",IF(C181="","⚠ Pick supplier",IF(ISNA(MATCH(C181,Suppliers!$B$7:$B$106,0)),"⚠ Supplier not in list",IF(B181="","⚠ Enter date",IF(N(D181)&lt;=0,"⚠ Enter amount",IF(AND(F181&lt;&gt;"",NOT(COUNTIFS(Bills!$D$8:$D$507,C181,Bills!$C$8:$C$507,F181)&gt;0)),"⚠ Bill not found – treated as on account",IF(F181="","✔ On account","✔")))))))</f>
        <v/>
      </c>
      <c r="J181" s="9" t="n">
        <f aca="false">IF(C181="",0,IF(F181="",N(D181),IF(COUNTIFS(Bills!$D$8:$D$507,C181,Bills!$C$8:$C$507,F181)&gt;0,0,N(D181))))</f>
        <v>0</v>
      </c>
    </row>
    <row r="182" customFormat="false" ht="15" hidden="false" customHeight="false" outlineLevel="0" collapsed="false">
      <c r="A182" s="40" t="str">
        <f aca="false">IF(C182="","",ROW()-7)</f>
        <v/>
      </c>
      <c r="B182" s="79"/>
      <c r="C182" s="76"/>
      <c r="D182" s="80"/>
      <c r="E182" s="78"/>
      <c r="F182" s="75"/>
      <c r="G182" s="75"/>
      <c r="H182" s="76"/>
      <c r="I182" s="50" t="str">
        <f aca="false">IF(AND(C182="",B182="",D182=""),"",IF(C182="","⚠ Pick supplier",IF(ISNA(MATCH(C182,Suppliers!$B$7:$B$106,0)),"⚠ Supplier not in list",IF(B182="","⚠ Enter date",IF(N(D182)&lt;=0,"⚠ Enter amount",IF(AND(F182&lt;&gt;"",NOT(COUNTIFS(Bills!$D$8:$D$507,C182,Bills!$C$8:$C$507,F182)&gt;0)),"⚠ Bill not found – treated as on account",IF(F182="","✔ On account","✔")))))))</f>
        <v/>
      </c>
      <c r="J182" s="9" t="n">
        <f aca="false">IF(C182="",0,IF(F182="",N(D182),IF(COUNTIFS(Bills!$D$8:$D$507,C182,Bills!$C$8:$C$507,F182)&gt;0,0,N(D182))))</f>
        <v>0</v>
      </c>
    </row>
    <row r="183" customFormat="false" ht="15" hidden="false" customHeight="false" outlineLevel="0" collapsed="false">
      <c r="A183" s="40" t="str">
        <f aca="false">IF(C183="","",ROW()-7)</f>
        <v/>
      </c>
      <c r="B183" s="79"/>
      <c r="C183" s="76"/>
      <c r="D183" s="80"/>
      <c r="E183" s="78"/>
      <c r="F183" s="75"/>
      <c r="G183" s="75"/>
      <c r="H183" s="76"/>
      <c r="I183" s="50" t="str">
        <f aca="false">IF(AND(C183="",B183="",D183=""),"",IF(C183="","⚠ Pick supplier",IF(ISNA(MATCH(C183,Suppliers!$B$7:$B$106,0)),"⚠ Supplier not in list",IF(B183="","⚠ Enter date",IF(N(D183)&lt;=0,"⚠ Enter amount",IF(AND(F183&lt;&gt;"",NOT(COUNTIFS(Bills!$D$8:$D$507,C183,Bills!$C$8:$C$507,F183)&gt;0)),"⚠ Bill not found – treated as on account",IF(F183="","✔ On account","✔")))))))</f>
        <v/>
      </c>
      <c r="J183" s="9" t="n">
        <f aca="false">IF(C183="",0,IF(F183="",N(D183),IF(COUNTIFS(Bills!$D$8:$D$507,C183,Bills!$C$8:$C$507,F183)&gt;0,0,N(D183))))</f>
        <v>0</v>
      </c>
    </row>
    <row r="184" customFormat="false" ht="15" hidden="false" customHeight="false" outlineLevel="0" collapsed="false">
      <c r="A184" s="40" t="str">
        <f aca="false">IF(C184="","",ROW()-7)</f>
        <v/>
      </c>
      <c r="B184" s="79"/>
      <c r="C184" s="76"/>
      <c r="D184" s="80"/>
      <c r="E184" s="78"/>
      <c r="F184" s="75"/>
      <c r="G184" s="75"/>
      <c r="H184" s="76"/>
      <c r="I184" s="50" t="str">
        <f aca="false">IF(AND(C184="",B184="",D184=""),"",IF(C184="","⚠ Pick supplier",IF(ISNA(MATCH(C184,Suppliers!$B$7:$B$106,0)),"⚠ Supplier not in list",IF(B184="","⚠ Enter date",IF(N(D184)&lt;=0,"⚠ Enter amount",IF(AND(F184&lt;&gt;"",NOT(COUNTIFS(Bills!$D$8:$D$507,C184,Bills!$C$8:$C$507,F184)&gt;0)),"⚠ Bill not found – treated as on account",IF(F184="","✔ On account","✔")))))))</f>
        <v/>
      </c>
      <c r="J184" s="9" t="n">
        <f aca="false">IF(C184="",0,IF(F184="",N(D184),IF(COUNTIFS(Bills!$D$8:$D$507,C184,Bills!$C$8:$C$507,F184)&gt;0,0,N(D184))))</f>
        <v>0</v>
      </c>
    </row>
    <row r="185" customFormat="false" ht="15" hidden="false" customHeight="false" outlineLevel="0" collapsed="false">
      <c r="A185" s="40" t="str">
        <f aca="false">IF(C185="","",ROW()-7)</f>
        <v/>
      </c>
      <c r="B185" s="79"/>
      <c r="C185" s="76"/>
      <c r="D185" s="80"/>
      <c r="E185" s="78"/>
      <c r="F185" s="75"/>
      <c r="G185" s="75"/>
      <c r="H185" s="76"/>
      <c r="I185" s="50" t="str">
        <f aca="false">IF(AND(C185="",B185="",D185=""),"",IF(C185="","⚠ Pick supplier",IF(ISNA(MATCH(C185,Suppliers!$B$7:$B$106,0)),"⚠ Supplier not in list",IF(B185="","⚠ Enter date",IF(N(D185)&lt;=0,"⚠ Enter amount",IF(AND(F185&lt;&gt;"",NOT(COUNTIFS(Bills!$D$8:$D$507,C185,Bills!$C$8:$C$507,F185)&gt;0)),"⚠ Bill not found – treated as on account",IF(F185="","✔ On account","✔")))))))</f>
        <v/>
      </c>
      <c r="J185" s="9" t="n">
        <f aca="false">IF(C185="",0,IF(F185="",N(D185),IF(COUNTIFS(Bills!$D$8:$D$507,C185,Bills!$C$8:$C$507,F185)&gt;0,0,N(D185))))</f>
        <v>0</v>
      </c>
    </row>
    <row r="186" customFormat="false" ht="15" hidden="false" customHeight="false" outlineLevel="0" collapsed="false">
      <c r="A186" s="40" t="str">
        <f aca="false">IF(C186="","",ROW()-7)</f>
        <v/>
      </c>
      <c r="B186" s="79"/>
      <c r="C186" s="76"/>
      <c r="D186" s="80"/>
      <c r="E186" s="78"/>
      <c r="F186" s="75"/>
      <c r="G186" s="75"/>
      <c r="H186" s="76"/>
      <c r="I186" s="50" t="str">
        <f aca="false">IF(AND(C186="",B186="",D186=""),"",IF(C186="","⚠ Pick supplier",IF(ISNA(MATCH(C186,Suppliers!$B$7:$B$106,0)),"⚠ Supplier not in list",IF(B186="","⚠ Enter date",IF(N(D186)&lt;=0,"⚠ Enter amount",IF(AND(F186&lt;&gt;"",NOT(COUNTIFS(Bills!$D$8:$D$507,C186,Bills!$C$8:$C$507,F186)&gt;0)),"⚠ Bill not found – treated as on account",IF(F186="","✔ On account","✔")))))))</f>
        <v/>
      </c>
      <c r="J186" s="9" t="n">
        <f aca="false">IF(C186="",0,IF(F186="",N(D186),IF(COUNTIFS(Bills!$D$8:$D$507,C186,Bills!$C$8:$C$507,F186)&gt;0,0,N(D186))))</f>
        <v>0</v>
      </c>
    </row>
    <row r="187" customFormat="false" ht="15" hidden="false" customHeight="false" outlineLevel="0" collapsed="false">
      <c r="A187" s="40" t="str">
        <f aca="false">IF(C187="","",ROW()-7)</f>
        <v/>
      </c>
      <c r="B187" s="79"/>
      <c r="C187" s="76"/>
      <c r="D187" s="80"/>
      <c r="E187" s="78"/>
      <c r="F187" s="75"/>
      <c r="G187" s="75"/>
      <c r="H187" s="76"/>
      <c r="I187" s="50" t="str">
        <f aca="false">IF(AND(C187="",B187="",D187=""),"",IF(C187="","⚠ Pick supplier",IF(ISNA(MATCH(C187,Suppliers!$B$7:$B$106,0)),"⚠ Supplier not in list",IF(B187="","⚠ Enter date",IF(N(D187)&lt;=0,"⚠ Enter amount",IF(AND(F187&lt;&gt;"",NOT(COUNTIFS(Bills!$D$8:$D$507,C187,Bills!$C$8:$C$507,F187)&gt;0)),"⚠ Bill not found – treated as on account",IF(F187="","✔ On account","✔")))))))</f>
        <v/>
      </c>
      <c r="J187" s="9" t="n">
        <f aca="false">IF(C187="",0,IF(F187="",N(D187),IF(COUNTIFS(Bills!$D$8:$D$507,C187,Bills!$C$8:$C$507,F187)&gt;0,0,N(D187))))</f>
        <v>0</v>
      </c>
    </row>
    <row r="188" customFormat="false" ht="15" hidden="false" customHeight="false" outlineLevel="0" collapsed="false">
      <c r="A188" s="40" t="str">
        <f aca="false">IF(C188="","",ROW()-7)</f>
        <v/>
      </c>
      <c r="B188" s="79"/>
      <c r="C188" s="76"/>
      <c r="D188" s="80"/>
      <c r="E188" s="78"/>
      <c r="F188" s="75"/>
      <c r="G188" s="75"/>
      <c r="H188" s="76"/>
      <c r="I188" s="50" t="str">
        <f aca="false">IF(AND(C188="",B188="",D188=""),"",IF(C188="","⚠ Pick supplier",IF(ISNA(MATCH(C188,Suppliers!$B$7:$B$106,0)),"⚠ Supplier not in list",IF(B188="","⚠ Enter date",IF(N(D188)&lt;=0,"⚠ Enter amount",IF(AND(F188&lt;&gt;"",NOT(COUNTIFS(Bills!$D$8:$D$507,C188,Bills!$C$8:$C$507,F188)&gt;0)),"⚠ Bill not found – treated as on account",IF(F188="","✔ On account","✔")))))))</f>
        <v/>
      </c>
      <c r="J188" s="9" t="n">
        <f aca="false">IF(C188="",0,IF(F188="",N(D188),IF(COUNTIFS(Bills!$D$8:$D$507,C188,Bills!$C$8:$C$507,F188)&gt;0,0,N(D188))))</f>
        <v>0</v>
      </c>
    </row>
    <row r="189" customFormat="false" ht="15" hidden="false" customHeight="false" outlineLevel="0" collapsed="false">
      <c r="A189" s="40" t="str">
        <f aca="false">IF(C189="","",ROW()-7)</f>
        <v/>
      </c>
      <c r="B189" s="79"/>
      <c r="C189" s="76"/>
      <c r="D189" s="80"/>
      <c r="E189" s="78"/>
      <c r="F189" s="75"/>
      <c r="G189" s="75"/>
      <c r="H189" s="76"/>
      <c r="I189" s="50" t="str">
        <f aca="false">IF(AND(C189="",B189="",D189=""),"",IF(C189="","⚠ Pick supplier",IF(ISNA(MATCH(C189,Suppliers!$B$7:$B$106,0)),"⚠ Supplier not in list",IF(B189="","⚠ Enter date",IF(N(D189)&lt;=0,"⚠ Enter amount",IF(AND(F189&lt;&gt;"",NOT(COUNTIFS(Bills!$D$8:$D$507,C189,Bills!$C$8:$C$507,F189)&gt;0)),"⚠ Bill not found – treated as on account",IF(F189="","✔ On account","✔")))))))</f>
        <v/>
      </c>
      <c r="J189" s="9" t="n">
        <f aca="false">IF(C189="",0,IF(F189="",N(D189),IF(COUNTIFS(Bills!$D$8:$D$507,C189,Bills!$C$8:$C$507,F189)&gt;0,0,N(D189))))</f>
        <v>0</v>
      </c>
    </row>
    <row r="190" customFormat="false" ht="15" hidden="false" customHeight="false" outlineLevel="0" collapsed="false">
      <c r="A190" s="40" t="str">
        <f aca="false">IF(C190="","",ROW()-7)</f>
        <v/>
      </c>
      <c r="B190" s="79"/>
      <c r="C190" s="76"/>
      <c r="D190" s="80"/>
      <c r="E190" s="78"/>
      <c r="F190" s="75"/>
      <c r="G190" s="75"/>
      <c r="H190" s="76"/>
      <c r="I190" s="50" t="str">
        <f aca="false">IF(AND(C190="",B190="",D190=""),"",IF(C190="","⚠ Pick supplier",IF(ISNA(MATCH(C190,Suppliers!$B$7:$B$106,0)),"⚠ Supplier not in list",IF(B190="","⚠ Enter date",IF(N(D190)&lt;=0,"⚠ Enter amount",IF(AND(F190&lt;&gt;"",NOT(COUNTIFS(Bills!$D$8:$D$507,C190,Bills!$C$8:$C$507,F190)&gt;0)),"⚠ Bill not found – treated as on account",IF(F190="","✔ On account","✔")))))))</f>
        <v/>
      </c>
      <c r="J190" s="9" t="n">
        <f aca="false">IF(C190="",0,IF(F190="",N(D190),IF(COUNTIFS(Bills!$D$8:$D$507,C190,Bills!$C$8:$C$507,F190)&gt;0,0,N(D190))))</f>
        <v>0</v>
      </c>
    </row>
    <row r="191" customFormat="false" ht="15" hidden="false" customHeight="false" outlineLevel="0" collapsed="false">
      <c r="A191" s="40" t="str">
        <f aca="false">IF(C191="","",ROW()-7)</f>
        <v/>
      </c>
      <c r="B191" s="79"/>
      <c r="C191" s="76"/>
      <c r="D191" s="80"/>
      <c r="E191" s="78"/>
      <c r="F191" s="75"/>
      <c r="G191" s="75"/>
      <c r="H191" s="76"/>
      <c r="I191" s="50" t="str">
        <f aca="false">IF(AND(C191="",B191="",D191=""),"",IF(C191="","⚠ Pick supplier",IF(ISNA(MATCH(C191,Suppliers!$B$7:$B$106,0)),"⚠ Supplier not in list",IF(B191="","⚠ Enter date",IF(N(D191)&lt;=0,"⚠ Enter amount",IF(AND(F191&lt;&gt;"",NOT(COUNTIFS(Bills!$D$8:$D$507,C191,Bills!$C$8:$C$507,F191)&gt;0)),"⚠ Bill not found – treated as on account",IF(F191="","✔ On account","✔")))))))</f>
        <v/>
      </c>
      <c r="J191" s="9" t="n">
        <f aca="false">IF(C191="",0,IF(F191="",N(D191),IF(COUNTIFS(Bills!$D$8:$D$507,C191,Bills!$C$8:$C$507,F191)&gt;0,0,N(D191))))</f>
        <v>0</v>
      </c>
    </row>
    <row r="192" customFormat="false" ht="15" hidden="false" customHeight="false" outlineLevel="0" collapsed="false">
      <c r="A192" s="40" t="str">
        <f aca="false">IF(C192="","",ROW()-7)</f>
        <v/>
      </c>
      <c r="B192" s="79"/>
      <c r="C192" s="76"/>
      <c r="D192" s="80"/>
      <c r="E192" s="78"/>
      <c r="F192" s="75"/>
      <c r="G192" s="75"/>
      <c r="H192" s="76"/>
      <c r="I192" s="50" t="str">
        <f aca="false">IF(AND(C192="",B192="",D192=""),"",IF(C192="","⚠ Pick supplier",IF(ISNA(MATCH(C192,Suppliers!$B$7:$B$106,0)),"⚠ Supplier not in list",IF(B192="","⚠ Enter date",IF(N(D192)&lt;=0,"⚠ Enter amount",IF(AND(F192&lt;&gt;"",NOT(COUNTIFS(Bills!$D$8:$D$507,C192,Bills!$C$8:$C$507,F192)&gt;0)),"⚠ Bill not found – treated as on account",IF(F192="","✔ On account","✔")))))))</f>
        <v/>
      </c>
      <c r="J192" s="9" t="n">
        <f aca="false">IF(C192="",0,IF(F192="",N(D192),IF(COUNTIFS(Bills!$D$8:$D$507,C192,Bills!$C$8:$C$507,F192)&gt;0,0,N(D192))))</f>
        <v>0</v>
      </c>
    </row>
    <row r="193" customFormat="false" ht="15" hidden="false" customHeight="false" outlineLevel="0" collapsed="false">
      <c r="A193" s="40" t="str">
        <f aca="false">IF(C193="","",ROW()-7)</f>
        <v/>
      </c>
      <c r="B193" s="79"/>
      <c r="C193" s="76"/>
      <c r="D193" s="80"/>
      <c r="E193" s="78"/>
      <c r="F193" s="75"/>
      <c r="G193" s="75"/>
      <c r="H193" s="76"/>
      <c r="I193" s="50" t="str">
        <f aca="false">IF(AND(C193="",B193="",D193=""),"",IF(C193="","⚠ Pick supplier",IF(ISNA(MATCH(C193,Suppliers!$B$7:$B$106,0)),"⚠ Supplier not in list",IF(B193="","⚠ Enter date",IF(N(D193)&lt;=0,"⚠ Enter amount",IF(AND(F193&lt;&gt;"",NOT(COUNTIFS(Bills!$D$8:$D$507,C193,Bills!$C$8:$C$507,F193)&gt;0)),"⚠ Bill not found – treated as on account",IF(F193="","✔ On account","✔")))))))</f>
        <v/>
      </c>
      <c r="J193" s="9" t="n">
        <f aca="false">IF(C193="",0,IF(F193="",N(D193),IF(COUNTIFS(Bills!$D$8:$D$507,C193,Bills!$C$8:$C$507,F193)&gt;0,0,N(D193))))</f>
        <v>0</v>
      </c>
    </row>
    <row r="194" customFormat="false" ht="15" hidden="false" customHeight="false" outlineLevel="0" collapsed="false">
      <c r="A194" s="40" t="str">
        <f aca="false">IF(C194="","",ROW()-7)</f>
        <v/>
      </c>
      <c r="B194" s="79"/>
      <c r="C194" s="76"/>
      <c r="D194" s="80"/>
      <c r="E194" s="78"/>
      <c r="F194" s="75"/>
      <c r="G194" s="75"/>
      <c r="H194" s="76"/>
      <c r="I194" s="50" t="str">
        <f aca="false">IF(AND(C194="",B194="",D194=""),"",IF(C194="","⚠ Pick supplier",IF(ISNA(MATCH(C194,Suppliers!$B$7:$B$106,0)),"⚠ Supplier not in list",IF(B194="","⚠ Enter date",IF(N(D194)&lt;=0,"⚠ Enter amount",IF(AND(F194&lt;&gt;"",NOT(COUNTIFS(Bills!$D$8:$D$507,C194,Bills!$C$8:$C$507,F194)&gt;0)),"⚠ Bill not found – treated as on account",IF(F194="","✔ On account","✔")))))))</f>
        <v/>
      </c>
      <c r="J194" s="9" t="n">
        <f aca="false">IF(C194="",0,IF(F194="",N(D194),IF(COUNTIFS(Bills!$D$8:$D$507,C194,Bills!$C$8:$C$507,F194)&gt;0,0,N(D194))))</f>
        <v>0</v>
      </c>
    </row>
    <row r="195" customFormat="false" ht="15" hidden="false" customHeight="false" outlineLevel="0" collapsed="false">
      <c r="A195" s="40" t="str">
        <f aca="false">IF(C195="","",ROW()-7)</f>
        <v/>
      </c>
      <c r="B195" s="79"/>
      <c r="C195" s="76"/>
      <c r="D195" s="80"/>
      <c r="E195" s="78"/>
      <c r="F195" s="75"/>
      <c r="G195" s="75"/>
      <c r="H195" s="76"/>
      <c r="I195" s="50" t="str">
        <f aca="false">IF(AND(C195="",B195="",D195=""),"",IF(C195="","⚠ Pick supplier",IF(ISNA(MATCH(C195,Suppliers!$B$7:$B$106,0)),"⚠ Supplier not in list",IF(B195="","⚠ Enter date",IF(N(D195)&lt;=0,"⚠ Enter amount",IF(AND(F195&lt;&gt;"",NOT(COUNTIFS(Bills!$D$8:$D$507,C195,Bills!$C$8:$C$507,F195)&gt;0)),"⚠ Bill not found – treated as on account",IF(F195="","✔ On account","✔")))))))</f>
        <v/>
      </c>
      <c r="J195" s="9" t="n">
        <f aca="false">IF(C195="",0,IF(F195="",N(D195),IF(COUNTIFS(Bills!$D$8:$D$507,C195,Bills!$C$8:$C$507,F195)&gt;0,0,N(D195))))</f>
        <v>0</v>
      </c>
    </row>
    <row r="196" customFormat="false" ht="15" hidden="false" customHeight="false" outlineLevel="0" collapsed="false">
      <c r="A196" s="40" t="str">
        <f aca="false">IF(C196="","",ROW()-7)</f>
        <v/>
      </c>
      <c r="B196" s="79"/>
      <c r="C196" s="76"/>
      <c r="D196" s="80"/>
      <c r="E196" s="78"/>
      <c r="F196" s="75"/>
      <c r="G196" s="75"/>
      <c r="H196" s="76"/>
      <c r="I196" s="50" t="str">
        <f aca="false">IF(AND(C196="",B196="",D196=""),"",IF(C196="","⚠ Pick supplier",IF(ISNA(MATCH(C196,Suppliers!$B$7:$B$106,0)),"⚠ Supplier not in list",IF(B196="","⚠ Enter date",IF(N(D196)&lt;=0,"⚠ Enter amount",IF(AND(F196&lt;&gt;"",NOT(COUNTIFS(Bills!$D$8:$D$507,C196,Bills!$C$8:$C$507,F196)&gt;0)),"⚠ Bill not found – treated as on account",IF(F196="","✔ On account","✔")))))))</f>
        <v/>
      </c>
      <c r="J196" s="9" t="n">
        <f aca="false">IF(C196="",0,IF(F196="",N(D196),IF(COUNTIFS(Bills!$D$8:$D$507,C196,Bills!$C$8:$C$507,F196)&gt;0,0,N(D196))))</f>
        <v>0</v>
      </c>
    </row>
    <row r="197" customFormat="false" ht="15" hidden="false" customHeight="false" outlineLevel="0" collapsed="false">
      <c r="A197" s="40" t="str">
        <f aca="false">IF(C197="","",ROW()-7)</f>
        <v/>
      </c>
      <c r="B197" s="79"/>
      <c r="C197" s="76"/>
      <c r="D197" s="80"/>
      <c r="E197" s="78"/>
      <c r="F197" s="75"/>
      <c r="G197" s="75"/>
      <c r="H197" s="76"/>
      <c r="I197" s="50" t="str">
        <f aca="false">IF(AND(C197="",B197="",D197=""),"",IF(C197="","⚠ Pick supplier",IF(ISNA(MATCH(C197,Suppliers!$B$7:$B$106,0)),"⚠ Supplier not in list",IF(B197="","⚠ Enter date",IF(N(D197)&lt;=0,"⚠ Enter amount",IF(AND(F197&lt;&gt;"",NOT(COUNTIFS(Bills!$D$8:$D$507,C197,Bills!$C$8:$C$507,F197)&gt;0)),"⚠ Bill not found – treated as on account",IF(F197="","✔ On account","✔")))))))</f>
        <v/>
      </c>
      <c r="J197" s="9" t="n">
        <f aca="false">IF(C197="",0,IF(F197="",N(D197),IF(COUNTIFS(Bills!$D$8:$D$507,C197,Bills!$C$8:$C$507,F197)&gt;0,0,N(D197))))</f>
        <v>0</v>
      </c>
    </row>
    <row r="198" customFormat="false" ht="15" hidden="false" customHeight="false" outlineLevel="0" collapsed="false">
      <c r="A198" s="40" t="str">
        <f aca="false">IF(C198="","",ROW()-7)</f>
        <v/>
      </c>
      <c r="B198" s="79"/>
      <c r="C198" s="76"/>
      <c r="D198" s="80"/>
      <c r="E198" s="78"/>
      <c r="F198" s="75"/>
      <c r="G198" s="75"/>
      <c r="H198" s="76"/>
      <c r="I198" s="50" t="str">
        <f aca="false">IF(AND(C198="",B198="",D198=""),"",IF(C198="","⚠ Pick supplier",IF(ISNA(MATCH(C198,Suppliers!$B$7:$B$106,0)),"⚠ Supplier not in list",IF(B198="","⚠ Enter date",IF(N(D198)&lt;=0,"⚠ Enter amount",IF(AND(F198&lt;&gt;"",NOT(COUNTIFS(Bills!$D$8:$D$507,C198,Bills!$C$8:$C$507,F198)&gt;0)),"⚠ Bill not found – treated as on account",IF(F198="","✔ On account","✔")))))))</f>
        <v/>
      </c>
      <c r="J198" s="9" t="n">
        <f aca="false">IF(C198="",0,IF(F198="",N(D198),IF(COUNTIFS(Bills!$D$8:$D$507,C198,Bills!$C$8:$C$507,F198)&gt;0,0,N(D198))))</f>
        <v>0</v>
      </c>
    </row>
    <row r="199" customFormat="false" ht="15" hidden="false" customHeight="false" outlineLevel="0" collapsed="false">
      <c r="A199" s="40" t="str">
        <f aca="false">IF(C199="","",ROW()-7)</f>
        <v/>
      </c>
      <c r="B199" s="79"/>
      <c r="C199" s="76"/>
      <c r="D199" s="80"/>
      <c r="E199" s="78"/>
      <c r="F199" s="75"/>
      <c r="G199" s="75"/>
      <c r="H199" s="76"/>
      <c r="I199" s="50" t="str">
        <f aca="false">IF(AND(C199="",B199="",D199=""),"",IF(C199="","⚠ Pick supplier",IF(ISNA(MATCH(C199,Suppliers!$B$7:$B$106,0)),"⚠ Supplier not in list",IF(B199="","⚠ Enter date",IF(N(D199)&lt;=0,"⚠ Enter amount",IF(AND(F199&lt;&gt;"",NOT(COUNTIFS(Bills!$D$8:$D$507,C199,Bills!$C$8:$C$507,F199)&gt;0)),"⚠ Bill not found – treated as on account",IF(F199="","✔ On account","✔")))))))</f>
        <v/>
      </c>
      <c r="J199" s="9" t="n">
        <f aca="false">IF(C199="",0,IF(F199="",N(D199),IF(COUNTIFS(Bills!$D$8:$D$507,C199,Bills!$C$8:$C$507,F199)&gt;0,0,N(D199))))</f>
        <v>0</v>
      </c>
    </row>
    <row r="200" customFormat="false" ht="15" hidden="false" customHeight="false" outlineLevel="0" collapsed="false">
      <c r="A200" s="40" t="str">
        <f aca="false">IF(C200="","",ROW()-7)</f>
        <v/>
      </c>
      <c r="B200" s="79"/>
      <c r="C200" s="76"/>
      <c r="D200" s="80"/>
      <c r="E200" s="78"/>
      <c r="F200" s="75"/>
      <c r="G200" s="75"/>
      <c r="H200" s="76"/>
      <c r="I200" s="50" t="str">
        <f aca="false">IF(AND(C200="",B200="",D200=""),"",IF(C200="","⚠ Pick supplier",IF(ISNA(MATCH(C200,Suppliers!$B$7:$B$106,0)),"⚠ Supplier not in list",IF(B200="","⚠ Enter date",IF(N(D200)&lt;=0,"⚠ Enter amount",IF(AND(F200&lt;&gt;"",NOT(COUNTIFS(Bills!$D$8:$D$507,C200,Bills!$C$8:$C$507,F200)&gt;0)),"⚠ Bill not found – treated as on account",IF(F200="","✔ On account","✔")))))))</f>
        <v/>
      </c>
      <c r="J200" s="9" t="n">
        <f aca="false">IF(C200="",0,IF(F200="",N(D200),IF(COUNTIFS(Bills!$D$8:$D$507,C200,Bills!$C$8:$C$507,F200)&gt;0,0,N(D200))))</f>
        <v>0</v>
      </c>
    </row>
    <row r="201" customFormat="false" ht="15" hidden="false" customHeight="false" outlineLevel="0" collapsed="false">
      <c r="A201" s="40" t="str">
        <f aca="false">IF(C201="","",ROW()-7)</f>
        <v/>
      </c>
      <c r="B201" s="79"/>
      <c r="C201" s="76"/>
      <c r="D201" s="80"/>
      <c r="E201" s="78"/>
      <c r="F201" s="75"/>
      <c r="G201" s="75"/>
      <c r="H201" s="76"/>
      <c r="I201" s="50" t="str">
        <f aca="false">IF(AND(C201="",B201="",D201=""),"",IF(C201="","⚠ Pick supplier",IF(ISNA(MATCH(C201,Suppliers!$B$7:$B$106,0)),"⚠ Supplier not in list",IF(B201="","⚠ Enter date",IF(N(D201)&lt;=0,"⚠ Enter amount",IF(AND(F201&lt;&gt;"",NOT(COUNTIFS(Bills!$D$8:$D$507,C201,Bills!$C$8:$C$507,F201)&gt;0)),"⚠ Bill not found – treated as on account",IF(F201="","✔ On account","✔")))))))</f>
        <v/>
      </c>
      <c r="J201" s="9" t="n">
        <f aca="false">IF(C201="",0,IF(F201="",N(D201),IF(COUNTIFS(Bills!$D$8:$D$507,C201,Bills!$C$8:$C$507,F201)&gt;0,0,N(D201))))</f>
        <v>0</v>
      </c>
    </row>
    <row r="202" customFormat="false" ht="15" hidden="false" customHeight="false" outlineLevel="0" collapsed="false">
      <c r="A202" s="40" t="str">
        <f aca="false">IF(C202="","",ROW()-7)</f>
        <v/>
      </c>
      <c r="B202" s="79"/>
      <c r="C202" s="76"/>
      <c r="D202" s="80"/>
      <c r="E202" s="78"/>
      <c r="F202" s="75"/>
      <c r="G202" s="75"/>
      <c r="H202" s="76"/>
      <c r="I202" s="50" t="str">
        <f aca="false">IF(AND(C202="",B202="",D202=""),"",IF(C202="","⚠ Pick supplier",IF(ISNA(MATCH(C202,Suppliers!$B$7:$B$106,0)),"⚠ Supplier not in list",IF(B202="","⚠ Enter date",IF(N(D202)&lt;=0,"⚠ Enter amount",IF(AND(F202&lt;&gt;"",NOT(COUNTIFS(Bills!$D$8:$D$507,C202,Bills!$C$8:$C$507,F202)&gt;0)),"⚠ Bill not found – treated as on account",IF(F202="","✔ On account","✔")))))))</f>
        <v/>
      </c>
      <c r="J202" s="9" t="n">
        <f aca="false">IF(C202="",0,IF(F202="",N(D202),IF(COUNTIFS(Bills!$D$8:$D$507,C202,Bills!$C$8:$C$507,F202)&gt;0,0,N(D202))))</f>
        <v>0</v>
      </c>
    </row>
    <row r="203" customFormat="false" ht="15" hidden="false" customHeight="false" outlineLevel="0" collapsed="false">
      <c r="A203" s="40" t="str">
        <f aca="false">IF(C203="","",ROW()-7)</f>
        <v/>
      </c>
      <c r="B203" s="79"/>
      <c r="C203" s="76"/>
      <c r="D203" s="80"/>
      <c r="E203" s="78"/>
      <c r="F203" s="75"/>
      <c r="G203" s="75"/>
      <c r="H203" s="76"/>
      <c r="I203" s="50" t="str">
        <f aca="false">IF(AND(C203="",B203="",D203=""),"",IF(C203="","⚠ Pick supplier",IF(ISNA(MATCH(C203,Suppliers!$B$7:$B$106,0)),"⚠ Supplier not in list",IF(B203="","⚠ Enter date",IF(N(D203)&lt;=0,"⚠ Enter amount",IF(AND(F203&lt;&gt;"",NOT(COUNTIFS(Bills!$D$8:$D$507,C203,Bills!$C$8:$C$507,F203)&gt;0)),"⚠ Bill not found – treated as on account",IF(F203="","✔ On account","✔")))))))</f>
        <v/>
      </c>
      <c r="J203" s="9" t="n">
        <f aca="false">IF(C203="",0,IF(F203="",N(D203),IF(COUNTIFS(Bills!$D$8:$D$507,C203,Bills!$C$8:$C$507,F203)&gt;0,0,N(D203))))</f>
        <v>0</v>
      </c>
    </row>
    <row r="204" customFormat="false" ht="15" hidden="false" customHeight="false" outlineLevel="0" collapsed="false">
      <c r="A204" s="40" t="str">
        <f aca="false">IF(C204="","",ROW()-7)</f>
        <v/>
      </c>
      <c r="B204" s="79"/>
      <c r="C204" s="76"/>
      <c r="D204" s="80"/>
      <c r="E204" s="78"/>
      <c r="F204" s="75"/>
      <c r="G204" s="75"/>
      <c r="H204" s="76"/>
      <c r="I204" s="50" t="str">
        <f aca="false">IF(AND(C204="",B204="",D204=""),"",IF(C204="","⚠ Pick supplier",IF(ISNA(MATCH(C204,Suppliers!$B$7:$B$106,0)),"⚠ Supplier not in list",IF(B204="","⚠ Enter date",IF(N(D204)&lt;=0,"⚠ Enter amount",IF(AND(F204&lt;&gt;"",NOT(COUNTIFS(Bills!$D$8:$D$507,C204,Bills!$C$8:$C$507,F204)&gt;0)),"⚠ Bill not found – treated as on account",IF(F204="","✔ On account","✔")))))))</f>
        <v/>
      </c>
      <c r="J204" s="9" t="n">
        <f aca="false">IF(C204="",0,IF(F204="",N(D204),IF(COUNTIFS(Bills!$D$8:$D$507,C204,Bills!$C$8:$C$507,F204)&gt;0,0,N(D204))))</f>
        <v>0</v>
      </c>
    </row>
    <row r="205" customFormat="false" ht="15" hidden="false" customHeight="false" outlineLevel="0" collapsed="false">
      <c r="A205" s="40" t="str">
        <f aca="false">IF(C205="","",ROW()-7)</f>
        <v/>
      </c>
      <c r="B205" s="79"/>
      <c r="C205" s="76"/>
      <c r="D205" s="80"/>
      <c r="E205" s="78"/>
      <c r="F205" s="75"/>
      <c r="G205" s="75"/>
      <c r="H205" s="76"/>
      <c r="I205" s="50" t="str">
        <f aca="false">IF(AND(C205="",B205="",D205=""),"",IF(C205="","⚠ Pick supplier",IF(ISNA(MATCH(C205,Suppliers!$B$7:$B$106,0)),"⚠ Supplier not in list",IF(B205="","⚠ Enter date",IF(N(D205)&lt;=0,"⚠ Enter amount",IF(AND(F205&lt;&gt;"",NOT(COUNTIFS(Bills!$D$8:$D$507,C205,Bills!$C$8:$C$507,F205)&gt;0)),"⚠ Bill not found – treated as on account",IF(F205="","✔ On account","✔")))))))</f>
        <v/>
      </c>
      <c r="J205" s="9" t="n">
        <f aca="false">IF(C205="",0,IF(F205="",N(D205),IF(COUNTIFS(Bills!$D$8:$D$507,C205,Bills!$C$8:$C$507,F205)&gt;0,0,N(D205))))</f>
        <v>0</v>
      </c>
    </row>
    <row r="206" customFormat="false" ht="15" hidden="false" customHeight="false" outlineLevel="0" collapsed="false">
      <c r="A206" s="40" t="str">
        <f aca="false">IF(C206="","",ROW()-7)</f>
        <v/>
      </c>
      <c r="B206" s="79"/>
      <c r="C206" s="76"/>
      <c r="D206" s="80"/>
      <c r="E206" s="78"/>
      <c r="F206" s="75"/>
      <c r="G206" s="75"/>
      <c r="H206" s="76"/>
      <c r="I206" s="50" t="str">
        <f aca="false">IF(AND(C206="",B206="",D206=""),"",IF(C206="","⚠ Pick supplier",IF(ISNA(MATCH(C206,Suppliers!$B$7:$B$106,0)),"⚠ Supplier not in list",IF(B206="","⚠ Enter date",IF(N(D206)&lt;=0,"⚠ Enter amount",IF(AND(F206&lt;&gt;"",NOT(COUNTIFS(Bills!$D$8:$D$507,C206,Bills!$C$8:$C$507,F206)&gt;0)),"⚠ Bill not found – treated as on account",IF(F206="","✔ On account","✔")))))))</f>
        <v/>
      </c>
      <c r="J206" s="9" t="n">
        <f aca="false">IF(C206="",0,IF(F206="",N(D206),IF(COUNTIFS(Bills!$D$8:$D$507,C206,Bills!$C$8:$C$507,F206)&gt;0,0,N(D206))))</f>
        <v>0</v>
      </c>
    </row>
    <row r="207" customFormat="false" ht="15" hidden="false" customHeight="false" outlineLevel="0" collapsed="false">
      <c r="A207" s="40" t="str">
        <f aca="false">IF(C207="","",ROW()-7)</f>
        <v/>
      </c>
      <c r="B207" s="79"/>
      <c r="C207" s="76"/>
      <c r="D207" s="80"/>
      <c r="E207" s="78"/>
      <c r="F207" s="75"/>
      <c r="G207" s="75"/>
      <c r="H207" s="76"/>
      <c r="I207" s="50" t="str">
        <f aca="false">IF(AND(C207="",B207="",D207=""),"",IF(C207="","⚠ Pick supplier",IF(ISNA(MATCH(C207,Suppliers!$B$7:$B$106,0)),"⚠ Supplier not in list",IF(B207="","⚠ Enter date",IF(N(D207)&lt;=0,"⚠ Enter amount",IF(AND(F207&lt;&gt;"",NOT(COUNTIFS(Bills!$D$8:$D$507,C207,Bills!$C$8:$C$507,F207)&gt;0)),"⚠ Bill not found – treated as on account",IF(F207="","✔ On account","✔")))))))</f>
        <v/>
      </c>
      <c r="J207" s="9" t="n">
        <f aca="false">IF(C207="",0,IF(F207="",N(D207),IF(COUNTIFS(Bills!$D$8:$D$507,C207,Bills!$C$8:$C$507,F207)&gt;0,0,N(D207))))</f>
        <v>0</v>
      </c>
    </row>
    <row r="208" customFormat="false" ht="15" hidden="false" customHeight="false" outlineLevel="0" collapsed="false">
      <c r="A208" s="40" t="str">
        <f aca="false">IF(C208="","",ROW()-7)</f>
        <v/>
      </c>
      <c r="B208" s="79"/>
      <c r="C208" s="76"/>
      <c r="D208" s="80"/>
      <c r="E208" s="78"/>
      <c r="F208" s="75"/>
      <c r="G208" s="75"/>
      <c r="H208" s="76"/>
      <c r="I208" s="50" t="str">
        <f aca="false">IF(AND(C208="",B208="",D208=""),"",IF(C208="","⚠ Pick supplier",IF(ISNA(MATCH(C208,Suppliers!$B$7:$B$106,0)),"⚠ Supplier not in list",IF(B208="","⚠ Enter date",IF(N(D208)&lt;=0,"⚠ Enter amount",IF(AND(F208&lt;&gt;"",NOT(COUNTIFS(Bills!$D$8:$D$507,C208,Bills!$C$8:$C$507,F208)&gt;0)),"⚠ Bill not found – treated as on account",IF(F208="","✔ On account","✔")))))))</f>
        <v/>
      </c>
      <c r="J208" s="9" t="n">
        <f aca="false">IF(C208="",0,IF(F208="",N(D208),IF(COUNTIFS(Bills!$D$8:$D$507,C208,Bills!$C$8:$C$507,F208)&gt;0,0,N(D208))))</f>
        <v>0</v>
      </c>
    </row>
    <row r="209" customFormat="false" ht="15" hidden="false" customHeight="false" outlineLevel="0" collapsed="false">
      <c r="A209" s="40" t="str">
        <f aca="false">IF(C209="","",ROW()-7)</f>
        <v/>
      </c>
      <c r="B209" s="79"/>
      <c r="C209" s="76"/>
      <c r="D209" s="80"/>
      <c r="E209" s="78"/>
      <c r="F209" s="75"/>
      <c r="G209" s="75"/>
      <c r="H209" s="76"/>
      <c r="I209" s="50" t="str">
        <f aca="false">IF(AND(C209="",B209="",D209=""),"",IF(C209="","⚠ Pick supplier",IF(ISNA(MATCH(C209,Suppliers!$B$7:$B$106,0)),"⚠ Supplier not in list",IF(B209="","⚠ Enter date",IF(N(D209)&lt;=0,"⚠ Enter amount",IF(AND(F209&lt;&gt;"",NOT(COUNTIFS(Bills!$D$8:$D$507,C209,Bills!$C$8:$C$507,F209)&gt;0)),"⚠ Bill not found – treated as on account",IF(F209="","✔ On account","✔")))))))</f>
        <v/>
      </c>
      <c r="J209" s="9" t="n">
        <f aca="false">IF(C209="",0,IF(F209="",N(D209),IF(COUNTIFS(Bills!$D$8:$D$507,C209,Bills!$C$8:$C$507,F209)&gt;0,0,N(D209))))</f>
        <v>0</v>
      </c>
    </row>
    <row r="210" customFormat="false" ht="15" hidden="false" customHeight="false" outlineLevel="0" collapsed="false">
      <c r="A210" s="40" t="str">
        <f aca="false">IF(C210="","",ROW()-7)</f>
        <v/>
      </c>
      <c r="B210" s="79"/>
      <c r="C210" s="76"/>
      <c r="D210" s="80"/>
      <c r="E210" s="78"/>
      <c r="F210" s="75"/>
      <c r="G210" s="75"/>
      <c r="H210" s="76"/>
      <c r="I210" s="50" t="str">
        <f aca="false">IF(AND(C210="",B210="",D210=""),"",IF(C210="","⚠ Pick supplier",IF(ISNA(MATCH(C210,Suppliers!$B$7:$B$106,0)),"⚠ Supplier not in list",IF(B210="","⚠ Enter date",IF(N(D210)&lt;=0,"⚠ Enter amount",IF(AND(F210&lt;&gt;"",NOT(COUNTIFS(Bills!$D$8:$D$507,C210,Bills!$C$8:$C$507,F210)&gt;0)),"⚠ Bill not found – treated as on account",IF(F210="","✔ On account","✔")))))))</f>
        <v/>
      </c>
      <c r="J210" s="9" t="n">
        <f aca="false">IF(C210="",0,IF(F210="",N(D210),IF(COUNTIFS(Bills!$D$8:$D$507,C210,Bills!$C$8:$C$507,F210)&gt;0,0,N(D210))))</f>
        <v>0</v>
      </c>
    </row>
    <row r="211" customFormat="false" ht="15" hidden="false" customHeight="false" outlineLevel="0" collapsed="false">
      <c r="A211" s="40" t="str">
        <f aca="false">IF(C211="","",ROW()-7)</f>
        <v/>
      </c>
      <c r="B211" s="79"/>
      <c r="C211" s="76"/>
      <c r="D211" s="80"/>
      <c r="E211" s="78"/>
      <c r="F211" s="75"/>
      <c r="G211" s="75"/>
      <c r="H211" s="76"/>
      <c r="I211" s="50" t="str">
        <f aca="false">IF(AND(C211="",B211="",D211=""),"",IF(C211="","⚠ Pick supplier",IF(ISNA(MATCH(C211,Suppliers!$B$7:$B$106,0)),"⚠ Supplier not in list",IF(B211="","⚠ Enter date",IF(N(D211)&lt;=0,"⚠ Enter amount",IF(AND(F211&lt;&gt;"",NOT(COUNTIFS(Bills!$D$8:$D$507,C211,Bills!$C$8:$C$507,F211)&gt;0)),"⚠ Bill not found – treated as on account",IF(F211="","✔ On account","✔")))))))</f>
        <v/>
      </c>
      <c r="J211" s="9" t="n">
        <f aca="false">IF(C211="",0,IF(F211="",N(D211),IF(COUNTIFS(Bills!$D$8:$D$507,C211,Bills!$C$8:$C$507,F211)&gt;0,0,N(D211))))</f>
        <v>0</v>
      </c>
    </row>
    <row r="212" customFormat="false" ht="15" hidden="false" customHeight="false" outlineLevel="0" collapsed="false">
      <c r="A212" s="40" t="str">
        <f aca="false">IF(C212="","",ROW()-7)</f>
        <v/>
      </c>
      <c r="B212" s="79"/>
      <c r="C212" s="76"/>
      <c r="D212" s="80"/>
      <c r="E212" s="78"/>
      <c r="F212" s="75"/>
      <c r="G212" s="75"/>
      <c r="H212" s="76"/>
      <c r="I212" s="50" t="str">
        <f aca="false">IF(AND(C212="",B212="",D212=""),"",IF(C212="","⚠ Pick supplier",IF(ISNA(MATCH(C212,Suppliers!$B$7:$B$106,0)),"⚠ Supplier not in list",IF(B212="","⚠ Enter date",IF(N(D212)&lt;=0,"⚠ Enter amount",IF(AND(F212&lt;&gt;"",NOT(COUNTIFS(Bills!$D$8:$D$507,C212,Bills!$C$8:$C$507,F212)&gt;0)),"⚠ Bill not found – treated as on account",IF(F212="","✔ On account","✔")))))))</f>
        <v/>
      </c>
      <c r="J212" s="9" t="n">
        <f aca="false">IF(C212="",0,IF(F212="",N(D212),IF(COUNTIFS(Bills!$D$8:$D$507,C212,Bills!$C$8:$C$507,F212)&gt;0,0,N(D212))))</f>
        <v>0</v>
      </c>
    </row>
    <row r="213" customFormat="false" ht="15" hidden="false" customHeight="false" outlineLevel="0" collapsed="false">
      <c r="A213" s="40" t="str">
        <f aca="false">IF(C213="","",ROW()-7)</f>
        <v/>
      </c>
      <c r="B213" s="79"/>
      <c r="C213" s="76"/>
      <c r="D213" s="80"/>
      <c r="E213" s="78"/>
      <c r="F213" s="75"/>
      <c r="G213" s="75"/>
      <c r="H213" s="76"/>
      <c r="I213" s="50" t="str">
        <f aca="false">IF(AND(C213="",B213="",D213=""),"",IF(C213="","⚠ Pick supplier",IF(ISNA(MATCH(C213,Suppliers!$B$7:$B$106,0)),"⚠ Supplier not in list",IF(B213="","⚠ Enter date",IF(N(D213)&lt;=0,"⚠ Enter amount",IF(AND(F213&lt;&gt;"",NOT(COUNTIFS(Bills!$D$8:$D$507,C213,Bills!$C$8:$C$507,F213)&gt;0)),"⚠ Bill not found – treated as on account",IF(F213="","✔ On account","✔")))))))</f>
        <v/>
      </c>
      <c r="J213" s="9" t="n">
        <f aca="false">IF(C213="",0,IF(F213="",N(D213),IF(COUNTIFS(Bills!$D$8:$D$507,C213,Bills!$C$8:$C$507,F213)&gt;0,0,N(D213))))</f>
        <v>0</v>
      </c>
    </row>
    <row r="214" customFormat="false" ht="15" hidden="false" customHeight="false" outlineLevel="0" collapsed="false">
      <c r="A214" s="40" t="str">
        <f aca="false">IF(C214="","",ROW()-7)</f>
        <v/>
      </c>
      <c r="B214" s="79"/>
      <c r="C214" s="76"/>
      <c r="D214" s="80"/>
      <c r="E214" s="78"/>
      <c r="F214" s="75"/>
      <c r="G214" s="75"/>
      <c r="H214" s="76"/>
      <c r="I214" s="50" t="str">
        <f aca="false">IF(AND(C214="",B214="",D214=""),"",IF(C214="","⚠ Pick supplier",IF(ISNA(MATCH(C214,Suppliers!$B$7:$B$106,0)),"⚠ Supplier not in list",IF(B214="","⚠ Enter date",IF(N(D214)&lt;=0,"⚠ Enter amount",IF(AND(F214&lt;&gt;"",NOT(COUNTIFS(Bills!$D$8:$D$507,C214,Bills!$C$8:$C$507,F214)&gt;0)),"⚠ Bill not found – treated as on account",IF(F214="","✔ On account","✔")))))))</f>
        <v/>
      </c>
      <c r="J214" s="9" t="n">
        <f aca="false">IF(C214="",0,IF(F214="",N(D214),IF(COUNTIFS(Bills!$D$8:$D$507,C214,Bills!$C$8:$C$507,F214)&gt;0,0,N(D214))))</f>
        <v>0</v>
      </c>
    </row>
    <row r="215" customFormat="false" ht="15" hidden="false" customHeight="false" outlineLevel="0" collapsed="false">
      <c r="A215" s="40" t="str">
        <f aca="false">IF(C215="","",ROW()-7)</f>
        <v/>
      </c>
      <c r="B215" s="79"/>
      <c r="C215" s="76"/>
      <c r="D215" s="80"/>
      <c r="E215" s="78"/>
      <c r="F215" s="75"/>
      <c r="G215" s="75"/>
      <c r="H215" s="76"/>
      <c r="I215" s="50" t="str">
        <f aca="false">IF(AND(C215="",B215="",D215=""),"",IF(C215="","⚠ Pick supplier",IF(ISNA(MATCH(C215,Suppliers!$B$7:$B$106,0)),"⚠ Supplier not in list",IF(B215="","⚠ Enter date",IF(N(D215)&lt;=0,"⚠ Enter amount",IF(AND(F215&lt;&gt;"",NOT(COUNTIFS(Bills!$D$8:$D$507,C215,Bills!$C$8:$C$507,F215)&gt;0)),"⚠ Bill not found – treated as on account",IF(F215="","✔ On account","✔")))))))</f>
        <v/>
      </c>
      <c r="J215" s="9" t="n">
        <f aca="false">IF(C215="",0,IF(F215="",N(D215),IF(COUNTIFS(Bills!$D$8:$D$507,C215,Bills!$C$8:$C$507,F215)&gt;0,0,N(D215))))</f>
        <v>0</v>
      </c>
    </row>
    <row r="216" customFormat="false" ht="15" hidden="false" customHeight="false" outlineLevel="0" collapsed="false">
      <c r="A216" s="40" t="str">
        <f aca="false">IF(C216="","",ROW()-7)</f>
        <v/>
      </c>
      <c r="B216" s="79"/>
      <c r="C216" s="76"/>
      <c r="D216" s="80"/>
      <c r="E216" s="78"/>
      <c r="F216" s="75"/>
      <c r="G216" s="75"/>
      <c r="H216" s="76"/>
      <c r="I216" s="50" t="str">
        <f aca="false">IF(AND(C216="",B216="",D216=""),"",IF(C216="","⚠ Pick supplier",IF(ISNA(MATCH(C216,Suppliers!$B$7:$B$106,0)),"⚠ Supplier not in list",IF(B216="","⚠ Enter date",IF(N(D216)&lt;=0,"⚠ Enter amount",IF(AND(F216&lt;&gt;"",NOT(COUNTIFS(Bills!$D$8:$D$507,C216,Bills!$C$8:$C$507,F216)&gt;0)),"⚠ Bill not found – treated as on account",IF(F216="","✔ On account","✔")))))))</f>
        <v/>
      </c>
      <c r="J216" s="9" t="n">
        <f aca="false">IF(C216="",0,IF(F216="",N(D216),IF(COUNTIFS(Bills!$D$8:$D$507,C216,Bills!$C$8:$C$507,F216)&gt;0,0,N(D216))))</f>
        <v>0</v>
      </c>
    </row>
    <row r="217" customFormat="false" ht="15" hidden="false" customHeight="false" outlineLevel="0" collapsed="false">
      <c r="A217" s="40" t="str">
        <f aca="false">IF(C217="","",ROW()-7)</f>
        <v/>
      </c>
      <c r="B217" s="79"/>
      <c r="C217" s="76"/>
      <c r="D217" s="80"/>
      <c r="E217" s="78"/>
      <c r="F217" s="75"/>
      <c r="G217" s="75"/>
      <c r="H217" s="76"/>
      <c r="I217" s="50" t="str">
        <f aca="false">IF(AND(C217="",B217="",D217=""),"",IF(C217="","⚠ Pick supplier",IF(ISNA(MATCH(C217,Suppliers!$B$7:$B$106,0)),"⚠ Supplier not in list",IF(B217="","⚠ Enter date",IF(N(D217)&lt;=0,"⚠ Enter amount",IF(AND(F217&lt;&gt;"",NOT(COUNTIFS(Bills!$D$8:$D$507,C217,Bills!$C$8:$C$507,F217)&gt;0)),"⚠ Bill not found – treated as on account",IF(F217="","✔ On account","✔")))))))</f>
        <v/>
      </c>
      <c r="J217" s="9" t="n">
        <f aca="false">IF(C217="",0,IF(F217="",N(D217),IF(COUNTIFS(Bills!$D$8:$D$507,C217,Bills!$C$8:$C$507,F217)&gt;0,0,N(D217))))</f>
        <v>0</v>
      </c>
    </row>
    <row r="218" customFormat="false" ht="15" hidden="false" customHeight="false" outlineLevel="0" collapsed="false">
      <c r="A218" s="40" t="str">
        <f aca="false">IF(C218="","",ROW()-7)</f>
        <v/>
      </c>
      <c r="B218" s="79"/>
      <c r="C218" s="76"/>
      <c r="D218" s="80"/>
      <c r="E218" s="78"/>
      <c r="F218" s="75"/>
      <c r="G218" s="75"/>
      <c r="H218" s="76"/>
      <c r="I218" s="50" t="str">
        <f aca="false">IF(AND(C218="",B218="",D218=""),"",IF(C218="","⚠ Pick supplier",IF(ISNA(MATCH(C218,Suppliers!$B$7:$B$106,0)),"⚠ Supplier not in list",IF(B218="","⚠ Enter date",IF(N(D218)&lt;=0,"⚠ Enter amount",IF(AND(F218&lt;&gt;"",NOT(COUNTIFS(Bills!$D$8:$D$507,C218,Bills!$C$8:$C$507,F218)&gt;0)),"⚠ Bill not found – treated as on account",IF(F218="","✔ On account","✔")))))))</f>
        <v/>
      </c>
      <c r="J218" s="9" t="n">
        <f aca="false">IF(C218="",0,IF(F218="",N(D218),IF(COUNTIFS(Bills!$D$8:$D$507,C218,Bills!$C$8:$C$507,F218)&gt;0,0,N(D218))))</f>
        <v>0</v>
      </c>
    </row>
    <row r="219" customFormat="false" ht="15" hidden="false" customHeight="false" outlineLevel="0" collapsed="false">
      <c r="A219" s="40" t="str">
        <f aca="false">IF(C219="","",ROW()-7)</f>
        <v/>
      </c>
      <c r="B219" s="79"/>
      <c r="C219" s="76"/>
      <c r="D219" s="80"/>
      <c r="E219" s="78"/>
      <c r="F219" s="75"/>
      <c r="G219" s="75"/>
      <c r="H219" s="76"/>
      <c r="I219" s="50" t="str">
        <f aca="false">IF(AND(C219="",B219="",D219=""),"",IF(C219="","⚠ Pick supplier",IF(ISNA(MATCH(C219,Suppliers!$B$7:$B$106,0)),"⚠ Supplier not in list",IF(B219="","⚠ Enter date",IF(N(D219)&lt;=0,"⚠ Enter amount",IF(AND(F219&lt;&gt;"",NOT(COUNTIFS(Bills!$D$8:$D$507,C219,Bills!$C$8:$C$507,F219)&gt;0)),"⚠ Bill not found – treated as on account",IF(F219="","✔ On account","✔")))))))</f>
        <v/>
      </c>
      <c r="J219" s="9" t="n">
        <f aca="false">IF(C219="",0,IF(F219="",N(D219),IF(COUNTIFS(Bills!$D$8:$D$507,C219,Bills!$C$8:$C$507,F219)&gt;0,0,N(D219))))</f>
        <v>0</v>
      </c>
    </row>
    <row r="220" customFormat="false" ht="15" hidden="false" customHeight="false" outlineLevel="0" collapsed="false">
      <c r="A220" s="40" t="str">
        <f aca="false">IF(C220="","",ROW()-7)</f>
        <v/>
      </c>
      <c r="B220" s="79"/>
      <c r="C220" s="76"/>
      <c r="D220" s="80"/>
      <c r="E220" s="78"/>
      <c r="F220" s="75"/>
      <c r="G220" s="75"/>
      <c r="H220" s="76"/>
      <c r="I220" s="50" t="str">
        <f aca="false">IF(AND(C220="",B220="",D220=""),"",IF(C220="","⚠ Pick supplier",IF(ISNA(MATCH(C220,Suppliers!$B$7:$B$106,0)),"⚠ Supplier not in list",IF(B220="","⚠ Enter date",IF(N(D220)&lt;=0,"⚠ Enter amount",IF(AND(F220&lt;&gt;"",NOT(COUNTIFS(Bills!$D$8:$D$507,C220,Bills!$C$8:$C$507,F220)&gt;0)),"⚠ Bill not found – treated as on account",IF(F220="","✔ On account","✔")))))))</f>
        <v/>
      </c>
      <c r="J220" s="9" t="n">
        <f aca="false">IF(C220="",0,IF(F220="",N(D220),IF(COUNTIFS(Bills!$D$8:$D$507,C220,Bills!$C$8:$C$507,F220)&gt;0,0,N(D220))))</f>
        <v>0</v>
      </c>
    </row>
    <row r="221" customFormat="false" ht="15" hidden="false" customHeight="false" outlineLevel="0" collapsed="false">
      <c r="A221" s="40" t="str">
        <f aca="false">IF(C221="","",ROW()-7)</f>
        <v/>
      </c>
      <c r="B221" s="79"/>
      <c r="C221" s="76"/>
      <c r="D221" s="80"/>
      <c r="E221" s="78"/>
      <c r="F221" s="75"/>
      <c r="G221" s="75"/>
      <c r="H221" s="76"/>
      <c r="I221" s="50" t="str">
        <f aca="false">IF(AND(C221="",B221="",D221=""),"",IF(C221="","⚠ Pick supplier",IF(ISNA(MATCH(C221,Suppliers!$B$7:$B$106,0)),"⚠ Supplier not in list",IF(B221="","⚠ Enter date",IF(N(D221)&lt;=0,"⚠ Enter amount",IF(AND(F221&lt;&gt;"",NOT(COUNTIFS(Bills!$D$8:$D$507,C221,Bills!$C$8:$C$507,F221)&gt;0)),"⚠ Bill not found – treated as on account",IF(F221="","✔ On account","✔")))))))</f>
        <v/>
      </c>
      <c r="J221" s="9" t="n">
        <f aca="false">IF(C221="",0,IF(F221="",N(D221),IF(COUNTIFS(Bills!$D$8:$D$507,C221,Bills!$C$8:$C$507,F221)&gt;0,0,N(D221))))</f>
        <v>0</v>
      </c>
    </row>
    <row r="222" customFormat="false" ht="15" hidden="false" customHeight="false" outlineLevel="0" collapsed="false">
      <c r="A222" s="40" t="str">
        <f aca="false">IF(C222="","",ROW()-7)</f>
        <v/>
      </c>
      <c r="B222" s="79"/>
      <c r="C222" s="76"/>
      <c r="D222" s="80"/>
      <c r="E222" s="78"/>
      <c r="F222" s="75"/>
      <c r="G222" s="75"/>
      <c r="H222" s="76"/>
      <c r="I222" s="50" t="str">
        <f aca="false">IF(AND(C222="",B222="",D222=""),"",IF(C222="","⚠ Pick supplier",IF(ISNA(MATCH(C222,Suppliers!$B$7:$B$106,0)),"⚠ Supplier not in list",IF(B222="","⚠ Enter date",IF(N(D222)&lt;=0,"⚠ Enter amount",IF(AND(F222&lt;&gt;"",NOT(COUNTIFS(Bills!$D$8:$D$507,C222,Bills!$C$8:$C$507,F222)&gt;0)),"⚠ Bill not found – treated as on account",IF(F222="","✔ On account","✔")))))))</f>
        <v/>
      </c>
      <c r="J222" s="9" t="n">
        <f aca="false">IF(C222="",0,IF(F222="",N(D222),IF(COUNTIFS(Bills!$D$8:$D$507,C222,Bills!$C$8:$C$507,F222)&gt;0,0,N(D222))))</f>
        <v>0</v>
      </c>
    </row>
    <row r="223" customFormat="false" ht="15" hidden="false" customHeight="false" outlineLevel="0" collapsed="false">
      <c r="A223" s="40" t="str">
        <f aca="false">IF(C223="","",ROW()-7)</f>
        <v/>
      </c>
      <c r="B223" s="79"/>
      <c r="C223" s="76"/>
      <c r="D223" s="80"/>
      <c r="E223" s="78"/>
      <c r="F223" s="75"/>
      <c r="G223" s="75"/>
      <c r="H223" s="76"/>
      <c r="I223" s="50" t="str">
        <f aca="false">IF(AND(C223="",B223="",D223=""),"",IF(C223="","⚠ Pick supplier",IF(ISNA(MATCH(C223,Suppliers!$B$7:$B$106,0)),"⚠ Supplier not in list",IF(B223="","⚠ Enter date",IF(N(D223)&lt;=0,"⚠ Enter amount",IF(AND(F223&lt;&gt;"",NOT(COUNTIFS(Bills!$D$8:$D$507,C223,Bills!$C$8:$C$507,F223)&gt;0)),"⚠ Bill not found – treated as on account",IF(F223="","✔ On account","✔")))))))</f>
        <v/>
      </c>
      <c r="J223" s="9" t="n">
        <f aca="false">IF(C223="",0,IF(F223="",N(D223),IF(COUNTIFS(Bills!$D$8:$D$507,C223,Bills!$C$8:$C$507,F223)&gt;0,0,N(D223))))</f>
        <v>0</v>
      </c>
    </row>
    <row r="224" customFormat="false" ht="15" hidden="false" customHeight="false" outlineLevel="0" collapsed="false">
      <c r="A224" s="40" t="str">
        <f aca="false">IF(C224="","",ROW()-7)</f>
        <v/>
      </c>
      <c r="B224" s="79"/>
      <c r="C224" s="76"/>
      <c r="D224" s="80"/>
      <c r="E224" s="78"/>
      <c r="F224" s="75"/>
      <c r="G224" s="75"/>
      <c r="H224" s="76"/>
      <c r="I224" s="50" t="str">
        <f aca="false">IF(AND(C224="",B224="",D224=""),"",IF(C224="","⚠ Pick supplier",IF(ISNA(MATCH(C224,Suppliers!$B$7:$B$106,0)),"⚠ Supplier not in list",IF(B224="","⚠ Enter date",IF(N(D224)&lt;=0,"⚠ Enter amount",IF(AND(F224&lt;&gt;"",NOT(COUNTIFS(Bills!$D$8:$D$507,C224,Bills!$C$8:$C$507,F224)&gt;0)),"⚠ Bill not found – treated as on account",IF(F224="","✔ On account","✔")))))))</f>
        <v/>
      </c>
      <c r="J224" s="9" t="n">
        <f aca="false">IF(C224="",0,IF(F224="",N(D224),IF(COUNTIFS(Bills!$D$8:$D$507,C224,Bills!$C$8:$C$507,F224)&gt;0,0,N(D224))))</f>
        <v>0</v>
      </c>
    </row>
    <row r="225" customFormat="false" ht="15" hidden="false" customHeight="false" outlineLevel="0" collapsed="false">
      <c r="A225" s="40" t="str">
        <f aca="false">IF(C225="","",ROW()-7)</f>
        <v/>
      </c>
      <c r="B225" s="79"/>
      <c r="C225" s="76"/>
      <c r="D225" s="80"/>
      <c r="E225" s="78"/>
      <c r="F225" s="75"/>
      <c r="G225" s="75"/>
      <c r="H225" s="76"/>
      <c r="I225" s="50" t="str">
        <f aca="false">IF(AND(C225="",B225="",D225=""),"",IF(C225="","⚠ Pick supplier",IF(ISNA(MATCH(C225,Suppliers!$B$7:$B$106,0)),"⚠ Supplier not in list",IF(B225="","⚠ Enter date",IF(N(D225)&lt;=0,"⚠ Enter amount",IF(AND(F225&lt;&gt;"",NOT(COUNTIFS(Bills!$D$8:$D$507,C225,Bills!$C$8:$C$507,F225)&gt;0)),"⚠ Bill not found – treated as on account",IF(F225="","✔ On account","✔")))))))</f>
        <v/>
      </c>
      <c r="J225" s="9" t="n">
        <f aca="false">IF(C225="",0,IF(F225="",N(D225),IF(COUNTIFS(Bills!$D$8:$D$507,C225,Bills!$C$8:$C$507,F225)&gt;0,0,N(D225))))</f>
        <v>0</v>
      </c>
    </row>
    <row r="226" customFormat="false" ht="15" hidden="false" customHeight="false" outlineLevel="0" collapsed="false">
      <c r="A226" s="40" t="str">
        <f aca="false">IF(C226="","",ROW()-7)</f>
        <v/>
      </c>
      <c r="B226" s="79"/>
      <c r="C226" s="76"/>
      <c r="D226" s="80"/>
      <c r="E226" s="78"/>
      <c r="F226" s="75"/>
      <c r="G226" s="75"/>
      <c r="H226" s="76"/>
      <c r="I226" s="50" t="str">
        <f aca="false">IF(AND(C226="",B226="",D226=""),"",IF(C226="","⚠ Pick supplier",IF(ISNA(MATCH(C226,Suppliers!$B$7:$B$106,0)),"⚠ Supplier not in list",IF(B226="","⚠ Enter date",IF(N(D226)&lt;=0,"⚠ Enter amount",IF(AND(F226&lt;&gt;"",NOT(COUNTIFS(Bills!$D$8:$D$507,C226,Bills!$C$8:$C$507,F226)&gt;0)),"⚠ Bill not found – treated as on account",IF(F226="","✔ On account","✔")))))))</f>
        <v/>
      </c>
      <c r="J226" s="9" t="n">
        <f aca="false">IF(C226="",0,IF(F226="",N(D226),IF(COUNTIFS(Bills!$D$8:$D$507,C226,Bills!$C$8:$C$507,F226)&gt;0,0,N(D226))))</f>
        <v>0</v>
      </c>
    </row>
    <row r="227" customFormat="false" ht="15" hidden="false" customHeight="false" outlineLevel="0" collapsed="false">
      <c r="A227" s="40" t="str">
        <f aca="false">IF(C227="","",ROW()-7)</f>
        <v/>
      </c>
      <c r="B227" s="79"/>
      <c r="C227" s="76"/>
      <c r="D227" s="80"/>
      <c r="E227" s="78"/>
      <c r="F227" s="75"/>
      <c r="G227" s="75"/>
      <c r="H227" s="76"/>
      <c r="I227" s="50" t="str">
        <f aca="false">IF(AND(C227="",B227="",D227=""),"",IF(C227="","⚠ Pick supplier",IF(ISNA(MATCH(C227,Suppliers!$B$7:$B$106,0)),"⚠ Supplier not in list",IF(B227="","⚠ Enter date",IF(N(D227)&lt;=0,"⚠ Enter amount",IF(AND(F227&lt;&gt;"",NOT(COUNTIFS(Bills!$D$8:$D$507,C227,Bills!$C$8:$C$507,F227)&gt;0)),"⚠ Bill not found – treated as on account",IF(F227="","✔ On account","✔")))))))</f>
        <v/>
      </c>
      <c r="J227" s="9" t="n">
        <f aca="false">IF(C227="",0,IF(F227="",N(D227),IF(COUNTIFS(Bills!$D$8:$D$507,C227,Bills!$C$8:$C$507,F227)&gt;0,0,N(D227))))</f>
        <v>0</v>
      </c>
    </row>
    <row r="228" customFormat="false" ht="15" hidden="false" customHeight="false" outlineLevel="0" collapsed="false">
      <c r="A228" s="40" t="str">
        <f aca="false">IF(C228="","",ROW()-7)</f>
        <v/>
      </c>
      <c r="B228" s="79"/>
      <c r="C228" s="76"/>
      <c r="D228" s="80"/>
      <c r="E228" s="78"/>
      <c r="F228" s="75"/>
      <c r="G228" s="75"/>
      <c r="H228" s="76"/>
      <c r="I228" s="50" t="str">
        <f aca="false">IF(AND(C228="",B228="",D228=""),"",IF(C228="","⚠ Pick supplier",IF(ISNA(MATCH(C228,Suppliers!$B$7:$B$106,0)),"⚠ Supplier not in list",IF(B228="","⚠ Enter date",IF(N(D228)&lt;=0,"⚠ Enter amount",IF(AND(F228&lt;&gt;"",NOT(COUNTIFS(Bills!$D$8:$D$507,C228,Bills!$C$8:$C$507,F228)&gt;0)),"⚠ Bill not found – treated as on account",IF(F228="","✔ On account","✔")))))))</f>
        <v/>
      </c>
      <c r="J228" s="9" t="n">
        <f aca="false">IF(C228="",0,IF(F228="",N(D228),IF(COUNTIFS(Bills!$D$8:$D$507,C228,Bills!$C$8:$C$507,F228)&gt;0,0,N(D228))))</f>
        <v>0</v>
      </c>
    </row>
    <row r="229" customFormat="false" ht="15" hidden="false" customHeight="false" outlineLevel="0" collapsed="false">
      <c r="A229" s="40" t="str">
        <f aca="false">IF(C229="","",ROW()-7)</f>
        <v/>
      </c>
      <c r="B229" s="79"/>
      <c r="C229" s="76"/>
      <c r="D229" s="80"/>
      <c r="E229" s="78"/>
      <c r="F229" s="75"/>
      <c r="G229" s="75"/>
      <c r="H229" s="76"/>
      <c r="I229" s="50" t="str">
        <f aca="false">IF(AND(C229="",B229="",D229=""),"",IF(C229="","⚠ Pick supplier",IF(ISNA(MATCH(C229,Suppliers!$B$7:$B$106,0)),"⚠ Supplier not in list",IF(B229="","⚠ Enter date",IF(N(D229)&lt;=0,"⚠ Enter amount",IF(AND(F229&lt;&gt;"",NOT(COUNTIFS(Bills!$D$8:$D$507,C229,Bills!$C$8:$C$507,F229)&gt;0)),"⚠ Bill not found – treated as on account",IF(F229="","✔ On account","✔")))))))</f>
        <v/>
      </c>
      <c r="J229" s="9" t="n">
        <f aca="false">IF(C229="",0,IF(F229="",N(D229),IF(COUNTIFS(Bills!$D$8:$D$507,C229,Bills!$C$8:$C$507,F229)&gt;0,0,N(D229))))</f>
        <v>0</v>
      </c>
    </row>
    <row r="230" customFormat="false" ht="15" hidden="false" customHeight="false" outlineLevel="0" collapsed="false">
      <c r="A230" s="40" t="str">
        <f aca="false">IF(C230="","",ROW()-7)</f>
        <v/>
      </c>
      <c r="B230" s="79"/>
      <c r="C230" s="76"/>
      <c r="D230" s="80"/>
      <c r="E230" s="78"/>
      <c r="F230" s="75"/>
      <c r="G230" s="75"/>
      <c r="H230" s="76"/>
      <c r="I230" s="50" t="str">
        <f aca="false">IF(AND(C230="",B230="",D230=""),"",IF(C230="","⚠ Pick supplier",IF(ISNA(MATCH(C230,Suppliers!$B$7:$B$106,0)),"⚠ Supplier not in list",IF(B230="","⚠ Enter date",IF(N(D230)&lt;=0,"⚠ Enter amount",IF(AND(F230&lt;&gt;"",NOT(COUNTIFS(Bills!$D$8:$D$507,C230,Bills!$C$8:$C$507,F230)&gt;0)),"⚠ Bill not found – treated as on account",IF(F230="","✔ On account","✔")))))))</f>
        <v/>
      </c>
      <c r="J230" s="9" t="n">
        <f aca="false">IF(C230="",0,IF(F230="",N(D230),IF(COUNTIFS(Bills!$D$8:$D$507,C230,Bills!$C$8:$C$507,F230)&gt;0,0,N(D230))))</f>
        <v>0</v>
      </c>
    </row>
    <row r="231" customFormat="false" ht="15" hidden="false" customHeight="false" outlineLevel="0" collapsed="false">
      <c r="A231" s="40" t="str">
        <f aca="false">IF(C231="","",ROW()-7)</f>
        <v/>
      </c>
      <c r="B231" s="79"/>
      <c r="C231" s="76"/>
      <c r="D231" s="80"/>
      <c r="E231" s="78"/>
      <c r="F231" s="75"/>
      <c r="G231" s="75"/>
      <c r="H231" s="76"/>
      <c r="I231" s="50" t="str">
        <f aca="false">IF(AND(C231="",B231="",D231=""),"",IF(C231="","⚠ Pick supplier",IF(ISNA(MATCH(C231,Suppliers!$B$7:$B$106,0)),"⚠ Supplier not in list",IF(B231="","⚠ Enter date",IF(N(D231)&lt;=0,"⚠ Enter amount",IF(AND(F231&lt;&gt;"",NOT(COUNTIFS(Bills!$D$8:$D$507,C231,Bills!$C$8:$C$507,F231)&gt;0)),"⚠ Bill not found – treated as on account",IF(F231="","✔ On account","✔")))))))</f>
        <v/>
      </c>
      <c r="J231" s="9" t="n">
        <f aca="false">IF(C231="",0,IF(F231="",N(D231),IF(COUNTIFS(Bills!$D$8:$D$507,C231,Bills!$C$8:$C$507,F231)&gt;0,0,N(D231))))</f>
        <v>0</v>
      </c>
    </row>
    <row r="232" customFormat="false" ht="15" hidden="false" customHeight="false" outlineLevel="0" collapsed="false">
      <c r="A232" s="40" t="str">
        <f aca="false">IF(C232="","",ROW()-7)</f>
        <v/>
      </c>
      <c r="B232" s="79"/>
      <c r="C232" s="76"/>
      <c r="D232" s="80"/>
      <c r="E232" s="78"/>
      <c r="F232" s="75"/>
      <c r="G232" s="75"/>
      <c r="H232" s="76"/>
      <c r="I232" s="50" t="str">
        <f aca="false">IF(AND(C232="",B232="",D232=""),"",IF(C232="","⚠ Pick supplier",IF(ISNA(MATCH(C232,Suppliers!$B$7:$B$106,0)),"⚠ Supplier not in list",IF(B232="","⚠ Enter date",IF(N(D232)&lt;=0,"⚠ Enter amount",IF(AND(F232&lt;&gt;"",NOT(COUNTIFS(Bills!$D$8:$D$507,C232,Bills!$C$8:$C$507,F232)&gt;0)),"⚠ Bill not found – treated as on account",IF(F232="","✔ On account","✔")))))))</f>
        <v/>
      </c>
      <c r="J232" s="9" t="n">
        <f aca="false">IF(C232="",0,IF(F232="",N(D232),IF(COUNTIFS(Bills!$D$8:$D$507,C232,Bills!$C$8:$C$507,F232)&gt;0,0,N(D232))))</f>
        <v>0</v>
      </c>
    </row>
    <row r="233" customFormat="false" ht="15" hidden="false" customHeight="false" outlineLevel="0" collapsed="false">
      <c r="A233" s="40" t="str">
        <f aca="false">IF(C233="","",ROW()-7)</f>
        <v/>
      </c>
      <c r="B233" s="79"/>
      <c r="C233" s="76"/>
      <c r="D233" s="80"/>
      <c r="E233" s="78"/>
      <c r="F233" s="75"/>
      <c r="G233" s="75"/>
      <c r="H233" s="76"/>
      <c r="I233" s="50" t="str">
        <f aca="false">IF(AND(C233="",B233="",D233=""),"",IF(C233="","⚠ Pick supplier",IF(ISNA(MATCH(C233,Suppliers!$B$7:$B$106,0)),"⚠ Supplier not in list",IF(B233="","⚠ Enter date",IF(N(D233)&lt;=0,"⚠ Enter amount",IF(AND(F233&lt;&gt;"",NOT(COUNTIFS(Bills!$D$8:$D$507,C233,Bills!$C$8:$C$507,F233)&gt;0)),"⚠ Bill not found – treated as on account",IF(F233="","✔ On account","✔")))))))</f>
        <v/>
      </c>
      <c r="J233" s="9" t="n">
        <f aca="false">IF(C233="",0,IF(F233="",N(D233),IF(COUNTIFS(Bills!$D$8:$D$507,C233,Bills!$C$8:$C$507,F233)&gt;0,0,N(D233))))</f>
        <v>0</v>
      </c>
    </row>
    <row r="234" customFormat="false" ht="15" hidden="false" customHeight="false" outlineLevel="0" collapsed="false">
      <c r="A234" s="40" t="str">
        <f aca="false">IF(C234="","",ROW()-7)</f>
        <v/>
      </c>
      <c r="B234" s="79"/>
      <c r="C234" s="76"/>
      <c r="D234" s="80"/>
      <c r="E234" s="78"/>
      <c r="F234" s="75"/>
      <c r="G234" s="75"/>
      <c r="H234" s="76"/>
      <c r="I234" s="50" t="str">
        <f aca="false">IF(AND(C234="",B234="",D234=""),"",IF(C234="","⚠ Pick supplier",IF(ISNA(MATCH(C234,Suppliers!$B$7:$B$106,0)),"⚠ Supplier not in list",IF(B234="","⚠ Enter date",IF(N(D234)&lt;=0,"⚠ Enter amount",IF(AND(F234&lt;&gt;"",NOT(COUNTIFS(Bills!$D$8:$D$507,C234,Bills!$C$8:$C$507,F234)&gt;0)),"⚠ Bill not found – treated as on account",IF(F234="","✔ On account","✔")))))))</f>
        <v/>
      </c>
      <c r="J234" s="9" t="n">
        <f aca="false">IF(C234="",0,IF(F234="",N(D234),IF(COUNTIFS(Bills!$D$8:$D$507,C234,Bills!$C$8:$C$507,F234)&gt;0,0,N(D234))))</f>
        <v>0</v>
      </c>
    </row>
    <row r="235" customFormat="false" ht="15" hidden="false" customHeight="false" outlineLevel="0" collapsed="false">
      <c r="A235" s="40" t="str">
        <f aca="false">IF(C235="","",ROW()-7)</f>
        <v/>
      </c>
      <c r="B235" s="79"/>
      <c r="C235" s="76"/>
      <c r="D235" s="80"/>
      <c r="E235" s="78"/>
      <c r="F235" s="75"/>
      <c r="G235" s="75"/>
      <c r="H235" s="76"/>
      <c r="I235" s="50" t="str">
        <f aca="false">IF(AND(C235="",B235="",D235=""),"",IF(C235="","⚠ Pick supplier",IF(ISNA(MATCH(C235,Suppliers!$B$7:$B$106,0)),"⚠ Supplier not in list",IF(B235="","⚠ Enter date",IF(N(D235)&lt;=0,"⚠ Enter amount",IF(AND(F235&lt;&gt;"",NOT(COUNTIFS(Bills!$D$8:$D$507,C235,Bills!$C$8:$C$507,F235)&gt;0)),"⚠ Bill not found – treated as on account",IF(F235="","✔ On account","✔")))))))</f>
        <v/>
      </c>
      <c r="J235" s="9" t="n">
        <f aca="false">IF(C235="",0,IF(F235="",N(D235),IF(COUNTIFS(Bills!$D$8:$D$507,C235,Bills!$C$8:$C$507,F235)&gt;0,0,N(D235))))</f>
        <v>0</v>
      </c>
    </row>
    <row r="236" customFormat="false" ht="15" hidden="false" customHeight="false" outlineLevel="0" collapsed="false">
      <c r="A236" s="40" t="str">
        <f aca="false">IF(C236="","",ROW()-7)</f>
        <v/>
      </c>
      <c r="B236" s="79"/>
      <c r="C236" s="76"/>
      <c r="D236" s="80"/>
      <c r="E236" s="78"/>
      <c r="F236" s="75"/>
      <c r="G236" s="75"/>
      <c r="H236" s="76"/>
      <c r="I236" s="50" t="str">
        <f aca="false">IF(AND(C236="",B236="",D236=""),"",IF(C236="","⚠ Pick supplier",IF(ISNA(MATCH(C236,Suppliers!$B$7:$B$106,0)),"⚠ Supplier not in list",IF(B236="","⚠ Enter date",IF(N(D236)&lt;=0,"⚠ Enter amount",IF(AND(F236&lt;&gt;"",NOT(COUNTIFS(Bills!$D$8:$D$507,C236,Bills!$C$8:$C$507,F236)&gt;0)),"⚠ Bill not found – treated as on account",IF(F236="","✔ On account","✔")))))))</f>
        <v/>
      </c>
      <c r="J236" s="9" t="n">
        <f aca="false">IF(C236="",0,IF(F236="",N(D236),IF(COUNTIFS(Bills!$D$8:$D$507,C236,Bills!$C$8:$C$507,F236)&gt;0,0,N(D236))))</f>
        <v>0</v>
      </c>
    </row>
    <row r="237" customFormat="false" ht="15" hidden="false" customHeight="false" outlineLevel="0" collapsed="false">
      <c r="A237" s="40" t="str">
        <f aca="false">IF(C237="","",ROW()-7)</f>
        <v/>
      </c>
      <c r="B237" s="79"/>
      <c r="C237" s="76"/>
      <c r="D237" s="80"/>
      <c r="E237" s="78"/>
      <c r="F237" s="75"/>
      <c r="G237" s="75"/>
      <c r="H237" s="76"/>
      <c r="I237" s="50" t="str">
        <f aca="false">IF(AND(C237="",B237="",D237=""),"",IF(C237="","⚠ Pick supplier",IF(ISNA(MATCH(C237,Suppliers!$B$7:$B$106,0)),"⚠ Supplier not in list",IF(B237="","⚠ Enter date",IF(N(D237)&lt;=0,"⚠ Enter amount",IF(AND(F237&lt;&gt;"",NOT(COUNTIFS(Bills!$D$8:$D$507,C237,Bills!$C$8:$C$507,F237)&gt;0)),"⚠ Bill not found – treated as on account",IF(F237="","✔ On account","✔")))))))</f>
        <v/>
      </c>
      <c r="J237" s="9" t="n">
        <f aca="false">IF(C237="",0,IF(F237="",N(D237),IF(COUNTIFS(Bills!$D$8:$D$507,C237,Bills!$C$8:$C$507,F237)&gt;0,0,N(D237))))</f>
        <v>0</v>
      </c>
    </row>
    <row r="238" customFormat="false" ht="15" hidden="false" customHeight="false" outlineLevel="0" collapsed="false">
      <c r="A238" s="40" t="str">
        <f aca="false">IF(C238="","",ROW()-7)</f>
        <v/>
      </c>
      <c r="B238" s="79"/>
      <c r="C238" s="76"/>
      <c r="D238" s="80"/>
      <c r="E238" s="78"/>
      <c r="F238" s="75"/>
      <c r="G238" s="75"/>
      <c r="H238" s="76"/>
      <c r="I238" s="50" t="str">
        <f aca="false">IF(AND(C238="",B238="",D238=""),"",IF(C238="","⚠ Pick supplier",IF(ISNA(MATCH(C238,Suppliers!$B$7:$B$106,0)),"⚠ Supplier not in list",IF(B238="","⚠ Enter date",IF(N(D238)&lt;=0,"⚠ Enter amount",IF(AND(F238&lt;&gt;"",NOT(COUNTIFS(Bills!$D$8:$D$507,C238,Bills!$C$8:$C$507,F238)&gt;0)),"⚠ Bill not found – treated as on account",IF(F238="","✔ On account","✔")))))))</f>
        <v/>
      </c>
      <c r="J238" s="9" t="n">
        <f aca="false">IF(C238="",0,IF(F238="",N(D238),IF(COUNTIFS(Bills!$D$8:$D$507,C238,Bills!$C$8:$C$507,F238)&gt;0,0,N(D238))))</f>
        <v>0</v>
      </c>
    </row>
    <row r="239" customFormat="false" ht="15" hidden="false" customHeight="false" outlineLevel="0" collapsed="false">
      <c r="A239" s="40" t="str">
        <f aca="false">IF(C239="","",ROW()-7)</f>
        <v/>
      </c>
      <c r="B239" s="79"/>
      <c r="C239" s="76"/>
      <c r="D239" s="80"/>
      <c r="E239" s="78"/>
      <c r="F239" s="75"/>
      <c r="G239" s="75"/>
      <c r="H239" s="76"/>
      <c r="I239" s="50" t="str">
        <f aca="false">IF(AND(C239="",B239="",D239=""),"",IF(C239="","⚠ Pick supplier",IF(ISNA(MATCH(C239,Suppliers!$B$7:$B$106,0)),"⚠ Supplier not in list",IF(B239="","⚠ Enter date",IF(N(D239)&lt;=0,"⚠ Enter amount",IF(AND(F239&lt;&gt;"",NOT(COUNTIFS(Bills!$D$8:$D$507,C239,Bills!$C$8:$C$507,F239)&gt;0)),"⚠ Bill not found – treated as on account",IF(F239="","✔ On account","✔")))))))</f>
        <v/>
      </c>
      <c r="J239" s="9" t="n">
        <f aca="false">IF(C239="",0,IF(F239="",N(D239),IF(COUNTIFS(Bills!$D$8:$D$507,C239,Bills!$C$8:$C$507,F239)&gt;0,0,N(D239))))</f>
        <v>0</v>
      </c>
    </row>
    <row r="240" customFormat="false" ht="15" hidden="false" customHeight="false" outlineLevel="0" collapsed="false">
      <c r="A240" s="40" t="str">
        <f aca="false">IF(C240="","",ROW()-7)</f>
        <v/>
      </c>
      <c r="B240" s="79"/>
      <c r="C240" s="76"/>
      <c r="D240" s="80"/>
      <c r="E240" s="78"/>
      <c r="F240" s="75"/>
      <c r="G240" s="75"/>
      <c r="H240" s="76"/>
      <c r="I240" s="50" t="str">
        <f aca="false">IF(AND(C240="",B240="",D240=""),"",IF(C240="","⚠ Pick supplier",IF(ISNA(MATCH(C240,Suppliers!$B$7:$B$106,0)),"⚠ Supplier not in list",IF(B240="","⚠ Enter date",IF(N(D240)&lt;=0,"⚠ Enter amount",IF(AND(F240&lt;&gt;"",NOT(COUNTIFS(Bills!$D$8:$D$507,C240,Bills!$C$8:$C$507,F240)&gt;0)),"⚠ Bill not found – treated as on account",IF(F240="","✔ On account","✔")))))))</f>
        <v/>
      </c>
      <c r="J240" s="9" t="n">
        <f aca="false">IF(C240="",0,IF(F240="",N(D240),IF(COUNTIFS(Bills!$D$8:$D$507,C240,Bills!$C$8:$C$507,F240)&gt;0,0,N(D240))))</f>
        <v>0</v>
      </c>
    </row>
    <row r="241" customFormat="false" ht="15" hidden="false" customHeight="false" outlineLevel="0" collapsed="false">
      <c r="A241" s="40" t="str">
        <f aca="false">IF(C241="","",ROW()-7)</f>
        <v/>
      </c>
      <c r="B241" s="79"/>
      <c r="C241" s="76"/>
      <c r="D241" s="80"/>
      <c r="E241" s="78"/>
      <c r="F241" s="75"/>
      <c r="G241" s="75"/>
      <c r="H241" s="76"/>
      <c r="I241" s="50" t="str">
        <f aca="false">IF(AND(C241="",B241="",D241=""),"",IF(C241="","⚠ Pick supplier",IF(ISNA(MATCH(C241,Suppliers!$B$7:$B$106,0)),"⚠ Supplier not in list",IF(B241="","⚠ Enter date",IF(N(D241)&lt;=0,"⚠ Enter amount",IF(AND(F241&lt;&gt;"",NOT(COUNTIFS(Bills!$D$8:$D$507,C241,Bills!$C$8:$C$507,F241)&gt;0)),"⚠ Bill not found – treated as on account",IF(F241="","✔ On account","✔")))))))</f>
        <v/>
      </c>
      <c r="J241" s="9" t="n">
        <f aca="false">IF(C241="",0,IF(F241="",N(D241),IF(COUNTIFS(Bills!$D$8:$D$507,C241,Bills!$C$8:$C$507,F241)&gt;0,0,N(D241))))</f>
        <v>0</v>
      </c>
    </row>
    <row r="242" customFormat="false" ht="15" hidden="false" customHeight="false" outlineLevel="0" collapsed="false">
      <c r="A242" s="40" t="str">
        <f aca="false">IF(C242="","",ROW()-7)</f>
        <v/>
      </c>
      <c r="B242" s="79"/>
      <c r="C242" s="76"/>
      <c r="D242" s="80"/>
      <c r="E242" s="78"/>
      <c r="F242" s="75"/>
      <c r="G242" s="75"/>
      <c r="H242" s="76"/>
      <c r="I242" s="50" t="str">
        <f aca="false">IF(AND(C242="",B242="",D242=""),"",IF(C242="","⚠ Pick supplier",IF(ISNA(MATCH(C242,Suppliers!$B$7:$B$106,0)),"⚠ Supplier not in list",IF(B242="","⚠ Enter date",IF(N(D242)&lt;=0,"⚠ Enter amount",IF(AND(F242&lt;&gt;"",NOT(COUNTIFS(Bills!$D$8:$D$507,C242,Bills!$C$8:$C$507,F242)&gt;0)),"⚠ Bill not found – treated as on account",IF(F242="","✔ On account","✔")))))))</f>
        <v/>
      </c>
      <c r="J242" s="9" t="n">
        <f aca="false">IF(C242="",0,IF(F242="",N(D242),IF(COUNTIFS(Bills!$D$8:$D$507,C242,Bills!$C$8:$C$507,F242)&gt;0,0,N(D242))))</f>
        <v>0</v>
      </c>
    </row>
    <row r="243" customFormat="false" ht="15" hidden="false" customHeight="false" outlineLevel="0" collapsed="false">
      <c r="A243" s="40" t="str">
        <f aca="false">IF(C243="","",ROW()-7)</f>
        <v/>
      </c>
      <c r="B243" s="79"/>
      <c r="C243" s="76"/>
      <c r="D243" s="80"/>
      <c r="E243" s="78"/>
      <c r="F243" s="75"/>
      <c r="G243" s="75"/>
      <c r="H243" s="76"/>
      <c r="I243" s="50" t="str">
        <f aca="false">IF(AND(C243="",B243="",D243=""),"",IF(C243="","⚠ Pick supplier",IF(ISNA(MATCH(C243,Suppliers!$B$7:$B$106,0)),"⚠ Supplier not in list",IF(B243="","⚠ Enter date",IF(N(D243)&lt;=0,"⚠ Enter amount",IF(AND(F243&lt;&gt;"",NOT(COUNTIFS(Bills!$D$8:$D$507,C243,Bills!$C$8:$C$507,F243)&gt;0)),"⚠ Bill not found – treated as on account",IF(F243="","✔ On account","✔")))))))</f>
        <v/>
      </c>
      <c r="J243" s="9" t="n">
        <f aca="false">IF(C243="",0,IF(F243="",N(D243),IF(COUNTIFS(Bills!$D$8:$D$507,C243,Bills!$C$8:$C$507,F243)&gt;0,0,N(D243))))</f>
        <v>0</v>
      </c>
    </row>
    <row r="244" customFormat="false" ht="15" hidden="false" customHeight="false" outlineLevel="0" collapsed="false">
      <c r="A244" s="40" t="str">
        <f aca="false">IF(C244="","",ROW()-7)</f>
        <v/>
      </c>
      <c r="B244" s="79"/>
      <c r="C244" s="76"/>
      <c r="D244" s="80"/>
      <c r="E244" s="78"/>
      <c r="F244" s="75"/>
      <c r="G244" s="75"/>
      <c r="H244" s="76"/>
      <c r="I244" s="50" t="str">
        <f aca="false">IF(AND(C244="",B244="",D244=""),"",IF(C244="","⚠ Pick supplier",IF(ISNA(MATCH(C244,Suppliers!$B$7:$B$106,0)),"⚠ Supplier not in list",IF(B244="","⚠ Enter date",IF(N(D244)&lt;=0,"⚠ Enter amount",IF(AND(F244&lt;&gt;"",NOT(COUNTIFS(Bills!$D$8:$D$507,C244,Bills!$C$8:$C$507,F244)&gt;0)),"⚠ Bill not found – treated as on account",IF(F244="","✔ On account","✔")))))))</f>
        <v/>
      </c>
      <c r="J244" s="9" t="n">
        <f aca="false">IF(C244="",0,IF(F244="",N(D244),IF(COUNTIFS(Bills!$D$8:$D$507,C244,Bills!$C$8:$C$507,F244)&gt;0,0,N(D244))))</f>
        <v>0</v>
      </c>
    </row>
    <row r="245" customFormat="false" ht="15" hidden="false" customHeight="false" outlineLevel="0" collapsed="false">
      <c r="A245" s="40" t="str">
        <f aca="false">IF(C245="","",ROW()-7)</f>
        <v/>
      </c>
      <c r="B245" s="79"/>
      <c r="C245" s="76"/>
      <c r="D245" s="80"/>
      <c r="E245" s="78"/>
      <c r="F245" s="75"/>
      <c r="G245" s="75"/>
      <c r="H245" s="76"/>
      <c r="I245" s="50" t="str">
        <f aca="false">IF(AND(C245="",B245="",D245=""),"",IF(C245="","⚠ Pick supplier",IF(ISNA(MATCH(C245,Suppliers!$B$7:$B$106,0)),"⚠ Supplier not in list",IF(B245="","⚠ Enter date",IF(N(D245)&lt;=0,"⚠ Enter amount",IF(AND(F245&lt;&gt;"",NOT(COUNTIFS(Bills!$D$8:$D$507,C245,Bills!$C$8:$C$507,F245)&gt;0)),"⚠ Bill not found – treated as on account",IF(F245="","✔ On account","✔")))))))</f>
        <v/>
      </c>
      <c r="J245" s="9" t="n">
        <f aca="false">IF(C245="",0,IF(F245="",N(D245),IF(COUNTIFS(Bills!$D$8:$D$507,C245,Bills!$C$8:$C$507,F245)&gt;0,0,N(D245))))</f>
        <v>0</v>
      </c>
    </row>
    <row r="246" customFormat="false" ht="15" hidden="false" customHeight="false" outlineLevel="0" collapsed="false">
      <c r="A246" s="40" t="str">
        <f aca="false">IF(C246="","",ROW()-7)</f>
        <v/>
      </c>
      <c r="B246" s="79"/>
      <c r="C246" s="76"/>
      <c r="D246" s="80"/>
      <c r="E246" s="78"/>
      <c r="F246" s="75"/>
      <c r="G246" s="75"/>
      <c r="H246" s="76"/>
      <c r="I246" s="50" t="str">
        <f aca="false">IF(AND(C246="",B246="",D246=""),"",IF(C246="","⚠ Pick supplier",IF(ISNA(MATCH(C246,Suppliers!$B$7:$B$106,0)),"⚠ Supplier not in list",IF(B246="","⚠ Enter date",IF(N(D246)&lt;=0,"⚠ Enter amount",IF(AND(F246&lt;&gt;"",NOT(COUNTIFS(Bills!$D$8:$D$507,C246,Bills!$C$8:$C$507,F246)&gt;0)),"⚠ Bill not found – treated as on account",IF(F246="","✔ On account","✔")))))))</f>
        <v/>
      </c>
      <c r="J246" s="9" t="n">
        <f aca="false">IF(C246="",0,IF(F246="",N(D246),IF(COUNTIFS(Bills!$D$8:$D$507,C246,Bills!$C$8:$C$507,F246)&gt;0,0,N(D246))))</f>
        <v>0</v>
      </c>
    </row>
    <row r="247" customFormat="false" ht="15" hidden="false" customHeight="false" outlineLevel="0" collapsed="false">
      <c r="A247" s="40" t="str">
        <f aca="false">IF(C247="","",ROW()-7)</f>
        <v/>
      </c>
      <c r="B247" s="79"/>
      <c r="C247" s="76"/>
      <c r="D247" s="80"/>
      <c r="E247" s="78"/>
      <c r="F247" s="75"/>
      <c r="G247" s="75"/>
      <c r="H247" s="76"/>
      <c r="I247" s="50" t="str">
        <f aca="false">IF(AND(C247="",B247="",D247=""),"",IF(C247="","⚠ Pick supplier",IF(ISNA(MATCH(C247,Suppliers!$B$7:$B$106,0)),"⚠ Supplier not in list",IF(B247="","⚠ Enter date",IF(N(D247)&lt;=0,"⚠ Enter amount",IF(AND(F247&lt;&gt;"",NOT(COUNTIFS(Bills!$D$8:$D$507,C247,Bills!$C$8:$C$507,F247)&gt;0)),"⚠ Bill not found – treated as on account",IF(F247="","✔ On account","✔")))))))</f>
        <v/>
      </c>
      <c r="J247" s="9" t="n">
        <f aca="false">IF(C247="",0,IF(F247="",N(D247),IF(COUNTIFS(Bills!$D$8:$D$507,C247,Bills!$C$8:$C$507,F247)&gt;0,0,N(D247))))</f>
        <v>0</v>
      </c>
    </row>
    <row r="248" customFormat="false" ht="15" hidden="false" customHeight="false" outlineLevel="0" collapsed="false">
      <c r="A248" s="40" t="str">
        <f aca="false">IF(C248="","",ROW()-7)</f>
        <v/>
      </c>
      <c r="B248" s="79"/>
      <c r="C248" s="76"/>
      <c r="D248" s="80"/>
      <c r="E248" s="78"/>
      <c r="F248" s="75"/>
      <c r="G248" s="75"/>
      <c r="H248" s="76"/>
      <c r="I248" s="50" t="str">
        <f aca="false">IF(AND(C248="",B248="",D248=""),"",IF(C248="","⚠ Pick supplier",IF(ISNA(MATCH(C248,Suppliers!$B$7:$B$106,0)),"⚠ Supplier not in list",IF(B248="","⚠ Enter date",IF(N(D248)&lt;=0,"⚠ Enter amount",IF(AND(F248&lt;&gt;"",NOT(COUNTIFS(Bills!$D$8:$D$507,C248,Bills!$C$8:$C$507,F248)&gt;0)),"⚠ Bill not found – treated as on account",IF(F248="","✔ On account","✔")))))))</f>
        <v/>
      </c>
      <c r="J248" s="9" t="n">
        <f aca="false">IF(C248="",0,IF(F248="",N(D248),IF(COUNTIFS(Bills!$D$8:$D$507,C248,Bills!$C$8:$C$507,F248)&gt;0,0,N(D248))))</f>
        <v>0</v>
      </c>
    </row>
    <row r="249" customFormat="false" ht="15" hidden="false" customHeight="false" outlineLevel="0" collapsed="false">
      <c r="A249" s="40" t="str">
        <f aca="false">IF(C249="","",ROW()-7)</f>
        <v/>
      </c>
      <c r="B249" s="79"/>
      <c r="C249" s="76"/>
      <c r="D249" s="80"/>
      <c r="E249" s="78"/>
      <c r="F249" s="75"/>
      <c r="G249" s="75"/>
      <c r="H249" s="76"/>
      <c r="I249" s="50" t="str">
        <f aca="false">IF(AND(C249="",B249="",D249=""),"",IF(C249="","⚠ Pick supplier",IF(ISNA(MATCH(C249,Suppliers!$B$7:$B$106,0)),"⚠ Supplier not in list",IF(B249="","⚠ Enter date",IF(N(D249)&lt;=0,"⚠ Enter amount",IF(AND(F249&lt;&gt;"",NOT(COUNTIFS(Bills!$D$8:$D$507,C249,Bills!$C$8:$C$507,F249)&gt;0)),"⚠ Bill not found – treated as on account",IF(F249="","✔ On account","✔")))))))</f>
        <v/>
      </c>
      <c r="J249" s="9" t="n">
        <f aca="false">IF(C249="",0,IF(F249="",N(D249),IF(COUNTIFS(Bills!$D$8:$D$507,C249,Bills!$C$8:$C$507,F249)&gt;0,0,N(D249))))</f>
        <v>0</v>
      </c>
    </row>
    <row r="250" customFormat="false" ht="15" hidden="false" customHeight="false" outlineLevel="0" collapsed="false">
      <c r="A250" s="40" t="str">
        <f aca="false">IF(C250="","",ROW()-7)</f>
        <v/>
      </c>
      <c r="B250" s="79"/>
      <c r="C250" s="76"/>
      <c r="D250" s="80"/>
      <c r="E250" s="78"/>
      <c r="F250" s="75"/>
      <c r="G250" s="75"/>
      <c r="H250" s="76"/>
      <c r="I250" s="50" t="str">
        <f aca="false">IF(AND(C250="",B250="",D250=""),"",IF(C250="","⚠ Pick supplier",IF(ISNA(MATCH(C250,Suppliers!$B$7:$B$106,0)),"⚠ Supplier not in list",IF(B250="","⚠ Enter date",IF(N(D250)&lt;=0,"⚠ Enter amount",IF(AND(F250&lt;&gt;"",NOT(COUNTIFS(Bills!$D$8:$D$507,C250,Bills!$C$8:$C$507,F250)&gt;0)),"⚠ Bill not found – treated as on account",IF(F250="","✔ On account","✔")))))))</f>
        <v/>
      </c>
      <c r="J250" s="9" t="n">
        <f aca="false">IF(C250="",0,IF(F250="",N(D250),IF(COUNTIFS(Bills!$D$8:$D$507,C250,Bills!$C$8:$C$507,F250)&gt;0,0,N(D250))))</f>
        <v>0</v>
      </c>
    </row>
    <row r="251" customFormat="false" ht="15" hidden="false" customHeight="false" outlineLevel="0" collapsed="false">
      <c r="A251" s="40" t="str">
        <f aca="false">IF(C251="","",ROW()-7)</f>
        <v/>
      </c>
      <c r="B251" s="79"/>
      <c r="C251" s="76"/>
      <c r="D251" s="80"/>
      <c r="E251" s="78"/>
      <c r="F251" s="75"/>
      <c r="G251" s="75"/>
      <c r="H251" s="76"/>
      <c r="I251" s="50" t="str">
        <f aca="false">IF(AND(C251="",B251="",D251=""),"",IF(C251="","⚠ Pick supplier",IF(ISNA(MATCH(C251,Suppliers!$B$7:$B$106,0)),"⚠ Supplier not in list",IF(B251="","⚠ Enter date",IF(N(D251)&lt;=0,"⚠ Enter amount",IF(AND(F251&lt;&gt;"",NOT(COUNTIFS(Bills!$D$8:$D$507,C251,Bills!$C$8:$C$507,F251)&gt;0)),"⚠ Bill not found – treated as on account",IF(F251="","✔ On account","✔")))))))</f>
        <v/>
      </c>
      <c r="J251" s="9" t="n">
        <f aca="false">IF(C251="",0,IF(F251="",N(D251),IF(COUNTIFS(Bills!$D$8:$D$507,C251,Bills!$C$8:$C$507,F251)&gt;0,0,N(D251))))</f>
        <v>0</v>
      </c>
    </row>
    <row r="252" customFormat="false" ht="15" hidden="false" customHeight="false" outlineLevel="0" collapsed="false">
      <c r="A252" s="40" t="str">
        <f aca="false">IF(C252="","",ROW()-7)</f>
        <v/>
      </c>
      <c r="B252" s="79"/>
      <c r="C252" s="76"/>
      <c r="D252" s="80"/>
      <c r="E252" s="78"/>
      <c r="F252" s="75"/>
      <c r="G252" s="75"/>
      <c r="H252" s="76"/>
      <c r="I252" s="50" t="str">
        <f aca="false">IF(AND(C252="",B252="",D252=""),"",IF(C252="","⚠ Pick supplier",IF(ISNA(MATCH(C252,Suppliers!$B$7:$B$106,0)),"⚠ Supplier not in list",IF(B252="","⚠ Enter date",IF(N(D252)&lt;=0,"⚠ Enter amount",IF(AND(F252&lt;&gt;"",NOT(COUNTIFS(Bills!$D$8:$D$507,C252,Bills!$C$8:$C$507,F252)&gt;0)),"⚠ Bill not found – treated as on account",IF(F252="","✔ On account","✔")))))))</f>
        <v/>
      </c>
      <c r="J252" s="9" t="n">
        <f aca="false">IF(C252="",0,IF(F252="",N(D252),IF(COUNTIFS(Bills!$D$8:$D$507,C252,Bills!$C$8:$C$507,F252)&gt;0,0,N(D252))))</f>
        <v>0</v>
      </c>
    </row>
    <row r="253" customFormat="false" ht="15" hidden="false" customHeight="false" outlineLevel="0" collapsed="false">
      <c r="A253" s="40" t="str">
        <f aca="false">IF(C253="","",ROW()-7)</f>
        <v/>
      </c>
      <c r="B253" s="79"/>
      <c r="C253" s="76"/>
      <c r="D253" s="80"/>
      <c r="E253" s="78"/>
      <c r="F253" s="75"/>
      <c r="G253" s="75"/>
      <c r="H253" s="76"/>
      <c r="I253" s="50" t="str">
        <f aca="false">IF(AND(C253="",B253="",D253=""),"",IF(C253="","⚠ Pick supplier",IF(ISNA(MATCH(C253,Suppliers!$B$7:$B$106,0)),"⚠ Supplier not in list",IF(B253="","⚠ Enter date",IF(N(D253)&lt;=0,"⚠ Enter amount",IF(AND(F253&lt;&gt;"",NOT(COUNTIFS(Bills!$D$8:$D$507,C253,Bills!$C$8:$C$507,F253)&gt;0)),"⚠ Bill not found – treated as on account",IF(F253="","✔ On account","✔")))))))</f>
        <v/>
      </c>
      <c r="J253" s="9" t="n">
        <f aca="false">IF(C253="",0,IF(F253="",N(D253),IF(COUNTIFS(Bills!$D$8:$D$507,C253,Bills!$C$8:$C$507,F253)&gt;0,0,N(D253))))</f>
        <v>0</v>
      </c>
    </row>
    <row r="254" customFormat="false" ht="15" hidden="false" customHeight="false" outlineLevel="0" collapsed="false">
      <c r="A254" s="40" t="str">
        <f aca="false">IF(C254="","",ROW()-7)</f>
        <v/>
      </c>
      <c r="B254" s="79"/>
      <c r="C254" s="76"/>
      <c r="D254" s="80"/>
      <c r="E254" s="78"/>
      <c r="F254" s="75"/>
      <c r="G254" s="75"/>
      <c r="H254" s="76"/>
      <c r="I254" s="50" t="str">
        <f aca="false">IF(AND(C254="",B254="",D254=""),"",IF(C254="","⚠ Pick supplier",IF(ISNA(MATCH(C254,Suppliers!$B$7:$B$106,0)),"⚠ Supplier not in list",IF(B254="","⚠ Enter date",IF(N(D254)&lt;=0,"⚠ Enter amount",IF(AND(F254&lt;&gt;"",NOT(COUNTIFS(Bills!$D$8:$D$507,C254,Bills!$C$8:$C$507,F254)&gt;0)),"⚠ Bill not found – treated as on account",IF(F254="","✔ On account","✔")))))))</f>
        <v/>
      </c>
      <c r="J254" s="9" t="n">
        <f aca="false">IF(C254="",0,IF(F254="",N(D254),IF(COUNTIFS(Bills!$D$8:$D$507,C254,Bills!$C$8:$C$507,F254)&gt;0,0,N(D254))))</f>
        <v>0</v>
      </c>
    </row>
    <row r="255" customFormat="false" ht="15" hidden="false" customHeight="false" outlineLevel="0" collapsed="false">
      <c r="A255" s="40" t="str">
        <f aca="false">IF(C255="","",ROW()-7)</f>
        <v/>
      </c>
      <c r="B255" s="79"/>
      <c r="C255" s="76"/>
      <c r="D255" s="80"/>
      <c r="E255" s="78"/>
      <c r="F255" s="75"/>
      <c r="G255" s="75"/>
      <c r="H255" s="76"/>
      <c r="I255" s="50" t="str">
        <f aca="false">IF(AND(C255="",B255="",D255=""),"",IF(C255="","⚠ Pick supplier",IF(ISNA(MATCH(C255,Suppliers!$B$7:$B$106,0)),"⚠ Supplier not in list",IF(B255="","⚠ Enter date",IF(N(D255)&lt;=0,"⚠ Enter amount",IF(AND(F255&lt;&gt;"",NOT(COUNTIFS(Bills!$D$8:$D$507,C255,Bills!$C$8:$C$507,F255)&gt;0)),"⚠ Bill not found – treated as on account",IF(F255="","✔ On account","✔")))))))</f>
        <v/>
      </c>
      <c r="J255" s="9" t="n">
        <f aca="false">IF(C255="",0,IF(F255="",N(D255),IF(COUNTIFS(Bills!$D$8:$D$507,C255,Bills!$C$8:$C$507,F255)&gt;0,0,N(D255))))</f>
        <v>0</v>
      </c>
    </row>
    <row r="256" customFormat="false" ht="15" hidden="false" customHeight="false" outlineLevel="0" collapsed="false">
      <c r="A256" s="40" t="str">
        <f aca="false">IF(C256="","",ROW()-7)</f>
        <v/>
      </c>
      <c r="B256" s="79"/>
      <c r="C256" s="76"/>
      <c r="D256" s="80"/>
      <c r="E256" s="78"/>
      <c r="F256" s="75"/>
      <c r="G256" s="75"/>
      <c r="H256" s="76"/>
      <c r="I256" s="50" t="str">
        <f aca="false">IF(AND(C256="",B256="",D256=""),"",IF(C256="","⚠ Pick supplier",IF(ISNA(MATCH(C256,Suppliers!$B$7:$B$106,0)),"⚠ Supplier not in list",IF(B256="","⚠ Enter date",IF(N(D256)&lt;=0,"⚠ Enter amount",IF(AND(F256&lt;&gt;"",NOT(COUNTIFS(Bills!$D$8:$D$507,C256,Bills!$C$8:$C$507,F256)&gt;0)),"⚠ Bill not found – treated as on account",IF(F256="","✔ On account","✔")))))))</f>
        <v/>
      </c>
      <c r="J256" s="9" t="n">
        <f aca="false">IF(C256="",0,IF(F256="",N(D256),IF(COUNTIFS(Bills!$D$8:$D$507,C256,Bills!$C$8:$C$507,F256)&gt;0,0,N(D256))))</f>
        <v>0</v>
      </c>
    </row>
    <row r="257" customFormat="false" ht="15" hidden="false" customHeight="false" outlineLevel="0" collapsed="false">
      <c r="A257" s="40" t="str">
        <f aca="false">IF(C257="","",ROW()-7)</f>
        <v/>
      </c>
      <c r="B257" s="79"/>
      <c r="C257" s="76"/>
      <c r="D257" s="80"/>
      <c r="E257" s="78"/>
      <c r="F257" s="75"/>
      <c r="G257" s="75"/>
      <c r="H257" s="76"/>
      <c r="I257" s="50" t="str">
        <f aca="false">IF(AND(C257="",B257="",D257=""),"",IF(C257="","⚠ Pick supplier",IF(ISNA(MATCH(C257,Suppliers!$B$7:$B$106,0)),"⚠ Supplier not in list",IF(B257="","⚠ Enter date",IF(N(D257)&lt;=0,"⚠ Enter amount",IF(AND(F257&lt;&gt;"",NOT(COUNTIFS(Bills!$D$8:$D$507,C257,Bills!$C$8:$C$507,F257)&gt;0)),"⚠ Bill not found – treated as on account",IF(F257="","✔ On account","✔")))))))</f>
        <v/>
      </c>
      <c r="J257" s="9" t="n">
        <f aca="false">IF(C257="",0,IF(F257="",N(D257),IF(COUNTIFS(Bills!$D$8:$D$507,C257,Bills!$C$8:$C$507,F257)&gt;0,0,N(D257))))</f>
        <v>0</v>
      </c>
    </row>
    <row r="258" customFormat="false" ht="15" hidden="false" customHeight="false" outlineLevel="0" collapsed="false">
      <c r="A258" s="40" t="str">
        <f aca="false">IF(C258="","",ROW()-7)</f>
        <v/>
      </c>
      <c r="B258" s="79"/>
      <c r="C258" s="76"/>
      <c r="D258" s="80"/>
      <c r="E258" s="78"/>
      <c r="F258" s="75"/>
      <c r="G258" s="75"/>
      <c r="H258" s="76"/>
      <c r="I258" s="50" t="str">
        <f aca="false">IF(AND(C258="",B258="",D258=""),"",IF(C258="","⚠ Pick supplier",IF(ISNA(MATCH(C258,Suppliers!$B$7:$B$106,0)),"⚠ Supplier not in list",IF(B258="","⚠ Enter date",IF(N(D258)&lt;=0,"⚠ Enter amount",IF(AND(F258&lt;&gt;"",NOT(COUNTIFS(Bills!$D$8:$D$507,C258,Bills!$C$8:$C$507,F258)&gt;0)),"⚠ Bill not found – treated as on account",IF(F258="","✔ On account","✔")))))))</f>
        <v/>
      </c>
      <c r="J258" s="9" t="n">
        <f aca="false">IF(C258="",0,IF(F258="",N(D258),IF(COUNTIFS(Bills!$D$8:$D$507,C258,Bills!$C$8:$C$507,F258)&gt;0,0,N(D258))))</f>
        <v>0</v>
      </c>
    </row>
    <row r="259" customFormat="false" ht="15" hidden="false" customHeight="false" outlineLevel="0" collapsed="false">
      <c r="A259" s="40" t="str">
        <f aca="false">IF(C259="","",ROW()-7)</f>
        <v/>
      </c>
      <c r="B259" s="79"/>
      <c r="C259" s="76"/>
      <c r="D259" s="80"/>
      <c r="E259" s="78"/>
      <c r="F259" s="75"/>
      <c r="G259" s="75"/>
      <c r="H259" s="76"/>
      <c r="I259" s="50" t="str">
        <f aca="false">IF(AND(C259="",B259="",D259=""),"",IF(C259="","⚠ Pick supplier",IF(ISNA(MATCH(C259,Suppliers!$B$7:$B$106,0)),"⚠ Supplier not in list",IF(B259="","⚠ Enter date",IF(N(D259)&lt;=0,"⚠ Enter amount",IF(AND(F259&lt;&gt;"",NOT(COUNTIFS(Bills!$D$8:$D$507,C259,Bills!$C$8:$C$507,F259)&gt;0)),"⚠ Bill not found – treated as on account",IF(F259="","✔ On account","✔")))))))</f>
        <v/>
      </c>
      <c r="J259" s="9" t="n">
        <f aca="false">IF(C259="",0,IF(F259="",N(D259),IF(COUNTIFS(Bills!$D$8:$D$507,C259,Bills!$C$8:$C$507,F259)&gt;0,0,N(D259))))</f>
        <v>0</v>
      </c>
    </row>
    <row r="260" customFormat="false" ht="15" hidden="false" customHeight="false" outlineLevel="0" collapsed="false">
      <c r="A260" s="40" t="str">
        <f aca="false">IF(C260="","",ROW()-7)</f>
        <v/>
      </c>
      <c r="B260" s="79"/>
      <c r="C260" s="76"/>
      <c r="D260" s="80"/>
      <c r="E260" s="78"/>
      <c r="F260" s="75"/>
      <c r="G260" s="75"/>
      <c r="H260" s="76"/>
      <c r="I260" s="50" t="str">
        <f aca="false">IF(AND(C260="",B260="",D260=""),"",IF(C260="","⚠ Pick supplier",IF(ISNA(MATCH(C260,Suppliers!$B$7:$B$106,0)),"⚠ Supplier not in list",IF(B260="","⚠ Enter date",IF(N(D260)&lt;=0,"⚠ Enter amount",IF(AND(F260&lt;&gt;"",NOT(COUNTIFS(Bills!$D$8:$D$507,C260,Bills!$C$8:$C$507,F260)&gt;0)),"⚠ Bill not found – treated as on account",IF(F260="","✔ On account","✔")))))))</f>
        <v/>
      </c>
      <c r="J260" s="9" t="n">
        <f aca="false">IF(C260="",0,IF(F260="",N(D260),IF(COUNTIFS(Bills!$D$8:$D$507,C260,Bills!$C$8:$C$507,F260)&gt;0,0,N(D260))))</f>
        <v>0</v>
      </c>
    </row>
    <row r="261" customFormat="false" ht="15" hidden="false" customHeight="false" outlineLevel="0" collapsed="false">
      <c r="A261" s="40" t="str">
        <f aca="false">IF(C261="","",ROW()-7)</f>
        <v/>
      </c>
      <c r="B261" s="79"/>
      <c r="C261" s="76"/>
      <c r="D261" s="80"/>
      <c r="E261" s="78"/>
      <c r="F261" s="75"/>
      <c r="G261" s="75"/>
      <c r="H261" s="76"/>
      <c r="I261" s="50" t="str">
        <f aca="false">IF(AND(C261="",B261="",D261=""),"",IF(C261="","⚠ Pick supplier",IF(ISNA(MATCH(C261,Suppliers!$B$7:$B$106,0)),"⚠ Supplier not in list",IF(B261="","⚠ Enter date",IF(N(D261)&lt;=0,"⚠ Enter amount",IF(AND(F261&lt;&gt;"",NOT(COUNTIFS(Bills!$D$8:$D$507,C261,Bills!$C$8:$C$507,F261)&gt;0)),"⚠ Bill not found – treated as on account",IF(F261="","✔ On account","✔")))))))</f>
        <v/>
      </c>
      <c r="J261" s="9" t="n">
        <f aca="false">IF(C261="",0,IF(F261="",N(D261),IF(COUNTIFS(Bills!$D$8:$D$507,C261,Bills!$C$8:$C$507,F261)&gt;0,0,N(D261))))</f>
        <v>0</v>
      </c>
    </row>
    <row r="262" customFormat="false" ht="15" hidden="false" customHeight="false" outlineLevel="0" collapsed="false">
      <c r="A262" s="40" t="str">
        <f aca="false">IF(C262="","",ROW()-7)</f>
        <v/>
      </c>
      <c r="B262" s="79"/>
      <c r="C262" s="76"/>
      <c r="D262" s="80"/>
      <c r="E262" s="78"/>
      <c r="F262" s="75"/>
      <c r="G262" s="75"/>
      <c r="H262" s="76"/>
      <c r="I262" s="50" t="str">
        <f aca="false">IF(AND(C262="",B262="",D262=""),"",IF(C262="","⚠ Pick supplier",IF(ISNA(MATCH(C262,Suppliers!$B$7:$B$106,0)),"⚠ Supplier not in list",IF(B262="","⚠ Enter date",IF(N(D262)&lt;=0,"⚠ Enter amount",IF(AND(F262&lt;&gt;"",NOT(COUNTIFS(Bills!$D$8:$D$507,C262,Bills!$C$8:$C$507,F262)&gt;0)),"⚠ Bill not found – treated as on account",IF(F262="","✔ On account","✔")))))))</f>
        <v/>
      </c>
      <c r="J262" s="9" t="n">
        <f aca="false">IF(C262="",0,IF(F262="",N(D262),IF(COUNTIFS(Bills!$D$8:$D$507,C262,Bills!$C$8:$C$507,F262)&gt;0,0,N(D262))))</f>
        <v>0</v>
      </c>
    </row>
    <row r="263" customFormat="false" ht="15" hidden="false" customHeight="false" outlineLevel="0" collapsed="false">
      <c r="A263" s="40" t="str">
        <f aca="false">IF(C263="","",ROW()-7)</f>
        <v/>
      </c>
      <c r="B263" s="79"/>
      <c r="C263" s="76"/>
      <c r="D263" s="80"/>
      <c r="E263" s="78"/>
      <c r="F263" s="75"/>
      <c r="G263" s="75"/>
      <c r="H263" s="76"/>
      <c r="I263" s="50" t="str">
        <f aca="false">IF(AND(C263="",B263="",D263=""),"",IF(C263="","⚠ Pick supplier",IF(ISNA(MATCH(C263,Suppliers!$B$7:$B$106,0)),"⚠ Supplier not in list",IF(B263="","⚠ Enter date",IF(N(D263)&lt;=0,"⚠ Enter amount",IF(AND(F263&lt;&gt;"",NOT(COUNTIFS(Bills!$D$8:$D$507,C263,Bills!$C$8:$C$507,F263)&gt;0)),"⚠ Bill not found – treated as on account",IF(F263="","✔ On account","✔")))))))</f>
        <v/>
      </c>
      <c r="J263" s="9" t="n">
        <f aca="false">IF(C263="",0,IF(F263="",N(D263),IF(COUNTIFS(Bills!$D$8:$D$507,C263,Bills!$C$8:$C$507,F263)&gt;0,0,N(D263))))</f>
        <v>0</v>
      </c>
    </row>
    <row r="264" customFormat="false" ht="15" hidden="false" customHeight="false" outlineLevel="0" collapsed="false">
      <c r="A264" s="40" t="str">
        <f aca="false">IF(C264="","",ROW()-7)</f>
        <v/>
      </c>
      <c r="B264" s="79"/>
      <c r="C264" s="76"/>
      <c r="D264" s="80"/>
      <c r="E264" s="78"/>
      <c r="F264" s="75"/>
      <c r="G264" s="75"/>
      <c r="H264" s="76"/>
      <c r="I264" s="50" t="str">
        <f aca="false">IF(AND(C264="",B264="",D264=""),"",IF(C264="","⚠ Pick supplier",IF(ISNA(MATCH(C264,Suppliers!$B$7:$B$106,0)),"⚠ Supplier not in list",IF(B264="","⚠ Enter date",IF(N(D264)&lt;=0,"⚠ Enter amount",IF(AND(F264&lt;&gt;"",NOT(COUNTIFS(Bills!$D$8:$D$507,C264,Bills!$C$8:$C$507,F264)&gt;0)),"⚠ Bill not found – treated as on account",IF(F264="","✔ On account","✔")))))))</f>
        <v/>
      </c>
      <c r="J264" s="9" t="n">
        <f aca="false">IF(C264="",0,IF(F264="",N(D264),IF(COUNTIFS(Bills!$D$8:$D$507,C264,Bills!$C$8:$C$507,F264)&gt;0,0,N(D264))))</f>
        <v>0</v>
      </c>
    </row>
    <row r="265" customFormat="false" ht="15" hidden="false" customHeight="false" outlineLevel="0" collapsed="false">
      <c r="A265" s="40" t="str">
        <f aca="false">IF(C265="","",ROW()-7)</f>
        <v/>
      </c>
      <c r="B265" s="79"/>
      <c r="C265" s="76"/>
      <c r="D265" s="80"/>
      <c r="E265" s="78"/>
      <c r="F265" s="75"/>
      <c r="G265" s="75"/>
      <c r="H265" s="76"/>
      <c r="I265" s="50" t="str">
        <f aca="false">IF(AND(C265="",B265="",D265=""),"",IF(C265="","⚠ Pick supplier",IF(ISNA(MATCH(C265,Suppliers!$B$7:$B$106,0)),"⚠ Supplier not in list",IF(B265="","⚠ Enter date",IF(N(D265)&lt;=0,"⚠ Enter amount",IF(AND(F265&lt;&gt;"",NOT(COUNTIFS(Bills!$D$8:$D$507,C265,Bills!$C$8:$C$507,F265)&gt;0)),"⚠ Bill not found – treated as on account",IF(F265="","✔ On account","✔")))))))</f>
        <v/>
      </c>
      <c r="J265" s="9" t="n">
        <f aca="false">IF(C265="",0,IF(F265="",N(D265),IF(COUNTIFS(Bills!$D$8:$D$507,C265,Bills!$C$8:$C$507,F265)&gt;0,0,N(D265))))</f>
        <v>0</v>
      </c>
    </row>
    <row r="266" customFormat="false" ht="15" hidden="false" customHeight="false" outlineLevel="0" collapsed="false">
      <c r="A266" s="40" t="str">
        <f aca="false">IF(C266="","",ROW()-7)</f>
        <v/>
      </c>
      <c r="B266" s="79"/>
      <c r="C266" s="76"/>
      <c r="D266" s="80"/>
      <c r="E266" s="78"/>
      <c r="F266" s="75"/>
      <c r="G266" s="75"/>
      <c r="H266" s="76"/>
      <c r="I266" s="50" t="str">
        <f aca="false">IF(AND(C266="",B266="",D266=""),"",IF(C266="","⚠ Pick supplier",IF(ISNA(MATCH(C266,Suppliers!$B$7:$B$106,0)),"⚠ Supplier not in list",IF(B266="","⚠ Enter date",IF(N(D266)&lt;=0,"⚠ Enter amount",IF(AND(F266&lt;&gt;"",NOT(COUNTIFS(Bills!$D$8:$D$507,C266,Bills!$C$8:$C$507,F266)&gt;0)),"⚠ Bill not found – treated as on account",IF(F266="","✔ On account","✔")))))))</f>
        <v/>
      </c>
      <c r="J266" s="9" t="n">
        <f aca="false">IF(C266="",0,IF(F266="",N(D266),IF(COUNTIFS(Bills!$D$8:$D$507,C266,Bills!$C$8:$C$507,F266)&gt;0,0,N(D266))))</f>
        <v>0</v>
      </c>
    </row>
    <row r="267" customFormat="false" ht="15" hidden="false" customHeight="false" outlineLevel="0" collapsed="false">
      <c r="A267" s="40" t="str">
        <f aca="false">IF(C267="","",ROW()-7)</f>
        <v/>
      </c>
      <c r="B267" s="79"/>
      <c r="C267" s="76"/>
      <c r="D267" s="80"/>
      <c r="E267" s="78"/>
      <c r="F267" s="75"/>
      <c r="G267" s="75"/>
      <c r="H267" s="76"/>
      <c r="I267" s="50" t="str">
        <f aca="false">IF(AND(C267="",B267="",D267=""),"",IF(C267="","⚠ Pick supplier",IF(ISNA(MATCH(C267,Suppliers!$B$7:$B$106,0)),"⚠ Supplier not in list",IF(B267="","⚠ Enter date",IF(N(D267)&lt;=0,"⚠ Enter amount",IF(AND(F267&lt;&gt;"",NOT(COUNTIFS(Bills!$D$8:$D$507,C267,Bills!$C$8:$C$507,F267)&gt;0)),"⚠ Bill not found – treated as on account",IF(F267="","✔ On account","✔")))))))</f>
        <v/>
      </c>
      <c r="J267" s="9" t="n">
        <f aca="false">IF(C267="",0,IF(F267="",N(D267),IF(COUNTIFS(Bills!$D$8:$D$507,C267,Bills!$C$8:$C$507,F267)&gt;0,0,N(D267))))</f>
        <v>0</v>
      </c>
    </row>
    <row r="268" customFormat="false" ht="15" hidden="false" customHeight="false" outlineLevel="0" collapsed="false">
      <c r="A268" s="40" t="str">
        <f aca="false">IF(C268="","",ROW()-7)</f>
        <v/>
      </c>
      <c r="B268" s="79"/>
      <c r="C268" s="76"/>
      <c r="D268" s="80"/>
      <c r="E268" s="78"/>
      <c r="F268" s="75"/>
      <c r="G268" s="75"/>
      <c r="H268" s="76"/>
      <c r="I268" s="50" t="str">
        <f aca="false">IF(AND(C268="",B268="",D268=""),"",IF(C268="","⚠ Pick supplier",IF(ISNA(MATCH(C268,Suppliers!$B$7:$B$106,0)),"⚠ Supplier not in list",IF(B268="","⚠ Enter date",IF(N(D268)&lt;=0,"⚠ Enter amount",IF(AND(F268&lt;&gt;"",NOT(COUNTIFS(Bills!$D$8:$D$507,C268,Bills!$C$8:$C$507,F268)&gt;0)),"⚠ Bill not found – treated as on account",IF(F268="","✔ On account","✔")))))))</f>
        <v/>
      </c>
      <c r="J268" s="9" t="n">
        <f aca="false">IF(C268="",0,IF(F268="",N(D268),IF(COUNTIFS(Bills!$D$8:$D$507,C268,Bills!$C$8:$C$507,F268)&gt;0,0,N(D268))))</f>
        <v>0</v>
      </c>
    </row>
    <row r="269" customFormat="false" ht="15" hidden="false" customHeight="false" outlineLevel="0" collapsed="false">
      <c r="A269" s="40" t="str">
        <f aca="false">IF(C269="","",ROW()-7)</f>
        <v/>
      </c>
      <c r="B269" s="79"/>
      <c r="C269" s="76"/>
      <c r="D269" s="80"/>
      <c r="E269" s="78"/>
      <c r="F269" s="75"/>
      <c r="G269" s="75"/>
      <c r="H269" s="76"/>
      <c r="I269" s="50" t="str">
        <f aca="false">IF(AND(C269="",B269="",D269=""),"",IF(C269="","⚠ Pick supplier",IF(ISNA(MATCH(C269,Suppliers!$B$7:$B$106,0)),"⚠ Supplier not in list",IF(B269="","⚠ Enter date",IF(N(D269)&lt;=0,"⚠ Enter amount",IF(AND(F269&lt;&gt;"",NOT(COUNTIFS(Bills!$D$8:$D$507,C269,Bills!$C$8:$C$507,F269)&gt;0)),"⚠ Bill not found – treated as on account",IF(F269="","✔ On account","✔")))))))</f>
        <v/>
      </c>
      <c r="J269" s="9" t="n">
        <f aca="false">IF(C269="",0,IF(F269="",N(D269),IF(COUNTIFS(Bills!$D$8:$D$507,C269,Bills!$C$8:$C$507,F269)&gt;0,0,N(D269))))</f>
        <v>0</v>
      </c>
    </row>
    <row r="270" customFormat="false" ht="15" hidden="false" customHeight="false" outlineLevel="0" collapsed="false">
      <c r="A270" s="40" t="str">
        <f aca="false">IF(C270="","",ROW()-7)</f>
        <v/>
      </c>
      <c r="B270" s="79"/>
      <c r="C270" s="76"/>
      <c r="D270" s="80"/>
      <c r="E270" s="78"/>
      <c r="F270" s="75"/>
      <c r="G270" s="75"/>
      <c r="H270" s="76"/>
      <c r="I270" s="50" t="str">
        <f aca="false">IF(AND(C270="",B270="",D270=""),"",IF(C270="","⚠ Pick supplier",IF(ISNA(MATCH(C270,Suppliers!$B$7:$B$106,0)),"⚠ Supplier not in list",IF(B270="","⚠ Enter date",IF(N(D270)&lt;=0,"⚠ Enter amount",IF(AND(F270&lt;&gt;"",NOT(COUNTIFS(Bills!$D$8:$D$507,C270,Bills!$C$8:$C$507,F270)&gt;0)),"⚠ Bill not found – treated as on account",IF(F270="","✔ On account","✔")))))))</f>
        <v/>
      </c>
      <c r="J270" s="9" t="n">
        <f aca="false">IF(C270="",0,IF(F270="",N(D270),IF(COUNTIFS(Bills!$D$8:$D$507,C270,Bills!$C$8:$C$507,F270)&gt;0,0,N(D270))))</f>
        <v>0</v>
      </c>
    </row>
    <row r="271" customFormat="false" ht="15" hidden="false" customHeight="false" outlineLevel="0" collapsed="false">
      <c r="A271" s="40" t="str">
        <f aca="false">IF(C271="","",ROW()-7)</f>
        <v/>
      </c>
      <c r="B271" s="79"/>
      <c r="C271" s="76"/>
      <c r="D271" s="80"/>
      <c r="E271" s="78"/>
      <c r="F271" s="75"/>
      <c r="G271" s="75"/>
      <c r="H271" s="76"/>
      <c r="I271" s="50" t="str">
        <f aca="false">IF(AND(C271="",B271="",D271=""),"",IF(C271="","⚠ Pick supplier",IF(ISNA(MATCH(C271,Suppliers!$B$7:$B$106,0)),"⚠ Supplier not in list",IF(B271="","⚠ Enter date",IF(N(D271)&lt;=0,"⚠ Enter amount",IF(AND(F271&lt;&gt;"",NOT(COUNTIFS(Bills!$D$8:$D$507,C271,Bills!$C$8:$C$507,F271)&gt;0)),"⚠ Bill not found – treated as on account",IF(F271="","✔ On account","✔")))))))</f>
        <v/>
      </c>
      <c r="J271" s="9" t="n">
        <f aca="false">IF(C271="",0,IF(F271="",N(D271),IF(COUNTIFS(Bills!$D$8:$D$507,C271,Bills!$C$8:$C$507,F271)&gt;0,0,N(D271))))</f>
        <v>0</v>
      </c>
    </row>
    <row r="272" customFormat="false" ht="15" hidden="false" customHeight="false" outlineLevel="0" collapsed="false">
      <c r="A272" s="40" t="str">
        <f aca="false">IF(C272="","",ROW()-7)</f>
        <v/>
      </c>
      <c r="B272" s="79"/>
      <c r="C272" s="76"/>
      <c r="D272" s="80"/>
      <c r="E272" s="78"/>
      <c r="F272" s="75"/>
      <c r="G272" s="75"/>
      <c r="H272" s="76"/>
      <c r="I272" s="50" t="str">
        <f aca="false">IF(AND(C272="",B272="",D272=""),"",IF(C272="","⚠ Pick supplier",IF(ISNA(MATCH(C272,Suppliers!$B$7:$B$106,0)),"⚠ Supplier not in list",IF(B272="","⚠ Enter date",IF(N(D272)&lt;=0,"⚠ Enter amount",IF(AND(F272&lt;&gt;"",NOT(COUNTIFS(Bills!$D$8:$D$507,C272,Bills!$C$8:$C$507,F272)&gt;0)),"⚠ Bill not found – treated as on account",IF(F272="","✔ On account","✔")))))))</f>
        <v/>
      </c>
      <c r="J272" s="9" t="n">
        <f aca="false">IF(C272="",0,IF(F272="",N(D272),IF(COUNTIFS(Bills!$D$8:$D$507,C272,Bills!$C$8:$C$507,F272)&gt;0,0,N(D272))))</f>
        <v>0</v>
      </c>
    </row>
    <row r="273" customFormat="false" ht="15" hidden="false" customHeight="false" outlineLevel="0" collapsed="false">
      <c r="A273" s="40" t="str">
        <f aca="false">IF(C273="","",ROW()-7)</f>
        <v/>
      </c>
      <c r="B273" s="79"/>
      <c r="C273" s="76"/>
      <c r="D273" s="80"/>
      <c r="E273" s="78"/>
      <c r="F273" s="75"/>
      <c r="G273" s="75"/>
      <c r="H273" s="76"/>
      <c r="I273" s="50" t="str">
        <f aca="false">IF(AND(C273="",B273="",D273=""),"",IF(C273="","⚠ Pick supplier",IF(ISNA(MATCH(C273,Suppliers!$B$7:$B$106,0)),"⚠ Supplier not in list",IF(B273="","⚠ Enter date",IF(N(D273)&lt;=0,"⚠ Enter amount",IF(AND(F273&lt;&gt;"",NOT(COUNTIFS(Bills!$D$8:$D$507,C273,Bills!$C$8:$C$507,F273)&gt;0)),"⚠ Bill not found – treated as on account",IF(F273="","✔ On account","✔")))))))</f>
        <v/>
      </c>
      <c r="J273" s="9" t="n">
        <f aca="false">IF(C273="",0,IF(F273="",N(D273),IF(COUNTIFS(Bills!$D$8:$D$507,C273,Bills!$C$8:$C$507,F273)&gt;0,0,N(D273))))</f>
        <v>0</v>
      </c>
    </row>
    <row r="274" customFormat="false" ht="15" hidden="false" customHeight="false" outlineLevel="0" collapsed="false">
      <c r="A274" s="40" t="str">
        <f aca="false">IF(C274="","",ROW()-7)</f>
        <v/>
      </c>
      <c r="B274" s="79"/>
      <c r="C274" s="76"/>
      <c r="D274" s="80"/>
      <c r="E274" s="78"/>
      <c r="F274" s="75"/>
      <c r="G274" s="75"/>
      <c r="H274" s="76"/>
      <c r="I274" s="50" t="str">
        <f aca="false">IF(AND(C274="",B274="",D274=""),"",IF(C274="","⚠ Pick supplier",IF(ISNA(MATCH(C274,Suppliers!$B$7:$B$106,0)),"⚠ Supplier not in list",IF(B274="","⚠ Enter date",IF(N(D274)&lt;=0,"⚠ Enter amount",IF(AND(F274&lt;&gt;"",NOT(COUNTIFS(Bills!$D$8:$D$507,C274,Bills!$C$8:$C$507,F274)&gt;0)),"⚠ Bill not found – treated as on account",IF(F274="","✔ On account","✔")))))))</f>
        <v/>
      </c>
      <c r="J274" s="9" t="n">
        <f aca="false">IF(C274="",0,IF(F274="",N(D274),IF(COUNTIFS(Bills!$D$8:$D$507,C274,Bills!$C$8:$C$507,F274)&gt;0,0,N(D274))))</f>
        <v>0</v>
      </c>
    </row>
    <row r="275" customFormat="false" ht="15" hidden="false" customHeight="false" outlineLevel="0" collapsed="false">
      <c r="A275" s="40" t="str">
        <f aca="false">IF(C275="","",ROW()-7)</f>
        <v/>
      </c>
      <c r="B275" s="79"/>
      <c r="C275" s="76"/>
      <c r="D275" s="80"/>
      <c r="E275" s="78"/>
      <c r="F275" s="75"/>
      <c r="G275" s="75"/>
      <c r="H275" s="76"/>
      <c r="I275" s="50" t="str">
        <f aca="false">IF(AND(C275="",B275="",D275=""),"",IF(C275="","⚠ Pick supplier",IF(ISNA(MATCH(C275,Suppliers!$B$7:$B$106,0)),"⚠ Supplier not in list",IF(B275="","⚠ Enter date",IF(N(D275)&lt;=0,"⚠ Enter amount",IF(AND(F275&lt;&gt;"",NOT(COUNTIFS(Bills!$D$8:$D$507,C275,Bills!$C$8:$C$507,F275)&gt;0)),"⚠ Bill not found – treated as on account",IF(F275="","✔ On account","✔")))))))</f>
        <v/>
      </c>
      <c r="J275" s="9" t="n">
        <f aca="false">IF(C275="",0,IF(F275="",N(D275),IF(COUNTIFS(Bills!$D$8:$D$507,C275,Bills!$C$8:$C$507,F275)&gt;0,0,N(D275))))</f>
        <v>0</v>
      </c>
    </row>
    <row r="276" customFormat="false" ht="15" hidden="false" customHeight="false" outlineLevel="0" collapsed="false">
      <c r="A276" s="40" t="str">
        <f aca="false">IF(C276="","",ROW()-7)</f>
        <v/>
      </c>
      <c r="B276" s="79"/>
      <c r="C276" s="76"/>
      <c r="D276" s="80"/>
      <c r="E276" s="78"/>
      <c r="F276" s="75"/>
      <c r="G276" s="75"/>
      <c r="H276" s="76"/>
      <c r="I276" s="50" t="str">
        <f aca="false">IF(AND(C276="",B276="",D276=""),"",IF(C276="","⚠ Pick supplier",IF(ISNA(MATCH(C276,Suppliers!$B$7:$B$106,0)),"⚠ Supplier not in list",IF(B276="","⚠ Enter date",IF(N(D276)&lt;=0,"⚠ Enter amount",IF(AND(F276&lt;&gt;"",NOT(COUNTIFS(Bills!$D$8:$D$507,C276,Bills!$C$8:$C$507,F276)&gt;0)),"⚠ Bill not found – treated as on account",IF(F276="","✔ On account","✔")))))))</f>
        <v/>
      </c>
      <c r="J276" s="9" t="n">
        <f aca="false">IF(C276="",0,IF(F276="",N(D276),IF(COUNTIFS(Bills!$D$8:$D$507,C276,Bills!$C$8:$C$507,F276)&gt;0,0,N(D276))))</f>
        <v>0</v>
      </c>
    </row>
    <row r="277" customFormat="false" ht="15" hidden="false" customHeight="false" outlineLevel="0" collapsed="false">
      <c r="A277" s="40" t="str">
        <f aca="false">IF(C277="","",ROW()-7)</f>
        <v/>
      </c>
      <c r="B277" s="79"/>
      <c r="C277" s="76"/>
      <c r="D277" s="80"/>
      <c r="E277" s="78"/>
      <c r="F277" s="75"/>
      <c r="G277" s="75"/>
      <c r="H277" s="76"/>
      <c r="I277" s="50" t="str">
        <f aca="false">IF(AND(C277="",B277="",D277=""),"",IF(C277="","⚠ Pick supplier",IF(ISNA(MATCH(C277,Suppliers!$B$7:$B$106,0)),"⚠ Supplier not in list",IF(B277="","⚠ Enter date",IF(N(D277)&lt;=0,"⚠ Enter amount",IF(AND(F277&lt;&gt;"",NOT(COUNTIFS(Bills!$D$8:$D$507,C277,Bills!$C$8:$C$507,F277)&gt;0)),"⚠ Bill not found – treated as on account",IF(F277="","✔ On account","✔")))))))</f>
        <v/>
      </c>
      <c r="J277" s="9" t="n">
        <f aca="false">IF(C277="",0,IF(F277="",N(D277),IF(COUNTIFS(Bills!$D$8:$D$507,C277,Bills!$C$8:$C$507,F277)&gt;0,0,N(D277))))</f>
        <v>0</v>
      </c>
    </row>
    <row r="278" customFormat="false" ht="15" hidden="false" customHeight="false" outlineLevel="0" collapsed="false">
      <c r="A278" s="40" t="str">
        <f aca="false">IF(C278="","",ROW()-7)</f>
        <v/>
      </c>
      <c r="B278" s="79"/>
      <c r="C278" s="76"/>
      <c r="D278" s="80"/>
      <c r="E278" s="78"/>
      <c r="F278" s="75"/>
      <c r="G278" s="75"/>
      <c r="H278" s="76"/>
      <c r="I278" s="50" t="str">
        <f aca="false">IF(AND(C278="",B278="",D278=""),"",IF(C278="","⚠ Pick supplier",IF(ISNA(MATCH(C278,Suppliers!$B$7:$B$106,0)),"⚠ Supplier not in list",IF(B278="","⚠ Enter date",IF(N(D278)&lt;=0,"⚠ Enter amount",IF(AND(F278&lt;&gt;"",NOT(COUNTIFS(Bills!$D$8:$D$507,C278,Bills!$C$8:$C$507,F278)&gt;0)),"⚠ Bill not found – treated as on account",IF(F278="","✔ On account","✔")))))))</f>
        <v/>
      </c>
      <c r="J278" s="9" t="n">
        <f aca="false">IF(C278="",0,IF(F278="",N(D278),IF(COUNTIFS(Bills!$D$8:$D$507,C278,Bills!$C$8:$C$507,F278)&gt;0,0,N(D278))))</f>
        <v>0</v>
      </c>
    </row>
    <row r="279" customFormat="false" ht="15" hidden="false" customHeight="false" outlineLevel="0" collapsed="false">
      <c r="A279" s="40" t="str">
        <f aca="false">IF(C279="","",ROW()-7)</f>
        <v/>
      </c>
      <c r="B279" s="79"/>
      <c r="C279" s="76"/>
      <c r="D279" s="80"/>
      <c r="E279" s="78"/>
      <c r="F279" s="75"/>
      <c r="G279" s="75"/>
      <c r="H279" s="76"/>
      <c r="I279" s="50" t="str">
        <f aca="false">IF(AND(C279="",B279="",D279=""),"",IF(C279="","⚠ Pick supplier",IF(ISNA(MATCH(C279,Suppliers!$B$7:$B$106,0)),"⚠ Supplier not in list",IF(B279="","⚠ Enter date",IF(N(D279)&lt;=0,"⚠ Enter amount",IF(AND(F279&lt;&gt;"",NOT(COUNTIFS(Bills!$D$8:$D$507,C279,Bills!$C$8:$C$507,F279)&gt;0)),"⚠ Bill not found – treated as on account",IF(F279="","✔ On account","✔")))))))</f>
        <v/>
      </c>
      <c r="J279" s="9" t="n">
        <f aca="false">IF(C279="",0,IF(F279="",N(D279),IF(COUNTIFS(Bills!$D$8:$D$507,C279,Bills!$C$8:$C$507,F279)&gt;0,0,N(D279))))</f>
        <v>0</v>
      </c>
    </row>
    <row r="280" customFormat="false" ht="15" hidden="false" customHeight="false" outlineLevel="0" collapsed="false">
      <c r="A280" s="40" t="str">
        <f aca="false">IF(C280="","",ROW()-7)</f>
        <v/>
      </c>
      <c r="B280" s="79"/>
      <c r="C280" s="76"/>
      <c r="D280" s="80"/>
      <c r="E280" s="78"/>
      <c r="F280" s="75"/>
      <c r="G280" s="75"/>
      <c r="H280" s="76"/>
      <c r="I280" s="50" t="str">
        <f aca="false">IF(AND(C280="",B280="",D280=""),"",IF(C280="","⚠ Pick supplier",IF(ISNA(MATCH(C280,Suppliers!$B$7:$B$106,0)),"⚠ Supplier not in list",IF(B280="","⚠ Enter date",IF(N(D280)&lt;=0,"⚠ Enter amount",IF(AND(F280&lt;&gt;"",NOT(COUNTIFS(Bills!$D$8:$D$507,C280,Bills!$C$8:$C$507,F280)&gt;0)),"⚠ Bill not found – treated as on account",IF(F280="","✔ On account","✔")))))))</f>
        <v/>
      </c>
      <c r="J280" s="9" t="n">
        <f aca="false">IF(C280="",0,IF(F280="",N(D280),IF(COUNTIFS(Bills!$D$8:$D$507,C280,Bills!$C$8:$C$507,F280)&gt;0,0,N(D280))))</f>
        <v>0</v>
      </c>
    </row>
    <row r="281" customFormat="false" ht="15" hidden="false" customHeight="false" outlineLevel="0" collapsed="false">
      <c r="A281" s="40" t="str">
        <f aca="false">IF(C281="","",ROW()-7)</f>
        <v/>
      </c>
      <c r="B281" s="79"/>
      <c r="C281" s="76"/>
      <c r="D281" s="80"/>
      <c r="E281" s="78"/>
      <c r="F281" s="75"/>
      <c r="G281" s="75"/>
      <c r="H281" s="76"/>
      <c r="I281" s="50" t="str">
        <f aca="false">IF(AND(C281="",B281="",D281=""),"",IF(C281="","⚠ Pick supplier",IF(ISNA(MATCH(C281,Suppliers!$B$7:$B$106,0)),"⚠ Supplier not in list",IF(B281="","⚠ Enter date",IF(N(D281)&lt;=0,"⚠ Enter amount",IF(AND(F281&lt;&gt;"",NOT(COUNTIFS(Bills!$D$8:$D$507,C281,Bills!$C$8:$C$507,F281)&gt;0)),"⚠ Bill not found – treated as on account",IF(F281="","✔ On account","✔")))))))</f>
        <v/>
      </c>
      <c r="J281" s="9" t="n">
        <f aca="false">IF(C281="",0,IF(F281="",N(D281),IF(COUNTIFS(Bills!$D$8:$D$507,C281,Bills!$C$8:$C$507,F281)&gt;0,0,N(D281))))</f>
        <v>0</v>
      </c>
    </row>
    <row r="282" customFormat="false" ht="15" hidden="false" customHeight="false" outlineLevel="0" collapsed="false">
      <c r="A282" s="40" t="str">
        <f aca="false">IF(C282="","",ROW()-7)</f>
        <v/>
      </c>
      <c r="B282" s="79"/>
      <c r="C282" s="76"/>
      <c r="D282" s="80"/>
      <c r="E282" s="78"/>
      <c r="F282" s="75"/>
      <c r="G282" s="75"/>
      <c r="H282" s="76"/>
      <c r="I282" s="50" t="str">
        <f aca="false">IF(AND(C282="",B282="",D282=""),"",IF(C282="","⚠ Pick supplier",IF(ISNA(MATCH(C282,Suppliers!$B$7:$B$106,0)),"⚠ Supplier not in list",IF(B282="","⚠ Enter date",IF(N(D282)&lt;=0,"⚠ Enter amount",IF(AND(F282&lt;&gt;"",NOT(COUNTIFS(Bills!$D$8:$D$507,C282,Bills!$C$8:$C$507,F282)&gt;0)),"⚠ Bill not found – treated as on account",IF(F282="","✔ On account","✔")))))))</f>
        <v/>
      </c>
      <c r="J282" s="9" t="n">
        <f aca="false">IF(C282="",0,IF(F282="",N(D282),IF(COUNTIFS(Bills!$D$8:$D$507,C282,Bills!$C$8:$C$507,F282)&gt;0,0,N(D282))))</f>
        <v>0</v>
      </c>
    </row>
    <row r="283" customFormat="false" ht="15" hidden="false" customHeight="false" outlineLevel="0" collapsed="false">
      <c r="A283" s="40" t="str">
        <f aca="false">IF(C283="","",ROW()-7)</f>
        <v/>
      </c>
      <c r="B283" s="79"/>
      <c r="C283" s="76"/>
      <c r="D283" s="80"/>
      <c r="E283" s="78"/>
      <c r="F283" s="75"/>
      <c r="G283" s="75"/>
      <c r="H283" s="76"/>
      <c r="I283" s="50" t="str">
        <f aca="false">IF(AND(C283="",B283="",D283=""),"",IF(C283="","⚠ Pick supplier",IF(ISNA(MATCH(C283,Suppliers!$B$7:$B$106,0)),"⚠ Supplier not in list",IF(B283="","⚠ Enter date",IF(N(D283)&lt;=0,"⚠ Enter amount",IF(AND(F283&lt;&gt;"",NOT(COUNTIFS(Bills!$D$8:$D$507,C283,Bills!$C$8:$C$507,F283)&gt;0)),"⚠ Bill not found – treated as on account",IF(F283="","✔ On account","✔")))))))</f>
        <v/>
      </c>
      <c r="J283" s="9" t="n">
        <f aca="false">IF(C283="",0,IF(F283="",N(D283),IF(COUNTIFS(Bills!$D$8:$D$507,C283,Bills!$C$8:$C$507,F283)&gt;0,0,N(D283))))</f>
        <v>0</v>
      </c>
    </row>
    <row r="284" customFormat="false" ht="15" hidden="false" customHeight="false" outlineLevel="0" collapsed="false">
      <c r="A284" s="40" t="str">
        <f aca="false">IF(C284="","",ROW()-7)</f>
        <v/>
      </c>
      <c r="B284" s="79"/>
      <c r="C284" s="76"/>
      <c r="D284" s="80"/>
      <c r="E284" s="78"/>
      <c r="F284" s="75"/>
      <c r="G284" s="75"/>
      <c r="H284" s="76"/>
      <c r="I284" s="50" t="str">
        <f aca="false">IF(AND(C284="",B284="",D284=""),"",IF(C284="","⚠ Pick supplier",IF(ISNA(MATCH(C284,Suppliers!$B$7:$B$106,0)),"⚠ Supplier not in list",IF(B284="","⚠ Enter date",IF(N(D284)&lt;=0,"⚠ Enter amount",IF(AND(F284&lt;&gt;"",NOT(COUNTIFS(Bills!$D$8:$D$507,C284,Bills!$C$8:$C$507,F284)&gt;0)),"⚠ Bill not found – treated as on account",IF(F284="","✔ On account","✔")))))))</f>
        <v/>
      </c>
      <c r="J284" s="9" t="n">
        <f aca="false">IF(C284="",0,IF(F284="",N(D284),IF(COUNTIFS(Bills!$D$8:$D$507,C284,Bills!$C$8:$C$507,F284)&gt;0,0,N(D284))))</f>
        <v>0</v>
      </c>
    </row>
    <row r="285" customFormat="false" ht="15" hidden="false" customHeight="false" outlineLevel="0" collapsed="false">
      <c r="A285" s="40" t="str">
        <f aca="false">IF(C285="","",ROW()-7)</f>
        <v/>
      </c>
      <c r="B285" s="79"/>
      <c r="C285" s="76"/>
      <c r="D285" s="80"/>
      <c r="E285" s="78"/>
      <c r="F285" s="75"/>
      <c r="G285" s="75"/>
      <c r="H285" s="76"/>
      <c r="I285" s="50" t="str">
        <f aca="false">IF(AND(C285="",B285="",D285=""),"",IF(C285="","⚠ Pick supplier",IF(ISNA(MATCH(C285,Suppliers!$B$7:$B$106,0)),"⚠ Supplier not in list",IF(B285="","⚠ Enter date",IF(N(D285)&lt;=0,"⚠ Enter amount",IF(AND(F285&lt;&gt;"",NOT(COUNTIFS(Bills!$D$8:$D$507,C285,Bills!$C$8:$C$507,F285)&gt;0)),"⚠ Bill not found – treated as on account",IF(F285="","✔ On account","✔")))))))</f>
        <v/>
      </c>
      <c r="J285" s="9" t="n">
        <f aca="false">IF(C285="",0,IF(F285="",N(D285),IF(COUNTIFS(Bills!$D$8:$D$507,C285,Bills!$C$8:$C$507,F285)&gt;0,0,N(D285))))</f>
        <v>0</v>
      </c>
    </row>
    <row r="286" customFormat="false" ht="15" hidden="false" customHeight="false" outlineLevel="0" collapsed="false">
      <c r="A286" s="40" t="str">
        <f aca="false">IF(C286="","",ROW()-7)</f>
        <v/>
      </c>
      <c r="B286" s="79"/>
      <c r="C286" s="76"/>
      <c r="D286" s="80"/>
      <c r="E286" s="78"/>
      <c r="F286" s="75"/>
      <c r="G286" s="75"/>
      <c r="H286" s="76"/>
      <c r="I286" s="50" t="str">
        <f aca="false">IF(AND(C286="",B286="",D286=""),"",IF(C286="","⚠ Pick supplier",IF(ISNA(MATCH(C286,Suppliers!$B$7:$B$106,0)),"⚠ Supplier not in list",IF(B286="","⚠ Enter date",IF(N(D286)&lt;=0,"⚠ Enter amount",IF(AND(F286&lt;&gt;"",NOT(COUNTIFS(Bills!$D$8:$D$507,C286,Bills!$C$8:$C$507,F286)&gt;0)),"⚠ Bill not found – treated as on account",IF(F286="","✔ On account","✔")))))))</f>
        <v/>
      </c>
      <c r="J286" s="9" t="n">
        <f aca="false">IF(C286="",0,IF(F286="",N(D286),IF(COUNTIFS(Bills!$D$8:$D$507,C286,Bills!$C$8:$C$507,F286)&gt;0,0,N(D286))))</f>
        <v>0</v>
      </c>
    </row>
    <row r="287" customFormat="false" ht="15" hidden="false" customHeight="false" outlineLevel="0" collapsed="false">
      <c r="A287" s="40" t="str">
        <f aca="false">IF(C287="","",ROW()-7)</f>
        <v/>
      </c>
      <c r="B287" s="79"/>
      <c r="C287" s="76"/>
      <c r="D287" s="80"/>
      <c r="E287" s="78"/>
      <c r="F287" s="75"/>
      <c r="G287" s="75"/>
      <c r="H287" s="76"/>
      <c r="I287" s="50" t="str">
        <f aca="false">IF(AND(C287="",B287="",D287=""),"",IF(C287="","⚠ Pick supplier",IF(ISNA(MATCH(C287,Suppliers!$B$7:$B$106,0)),"⚠ Supplier not in list",IF(B287="","⚠ Enter date",IF(N(D287)&lt;=0,"⚠ Enter amount",IF(AND(F287&lt;&gt;"",NOT(COUNTIFS(Bills!$D$8:$D$507,C287,Bills!$C$8:$C$507,F287)&gt;0)),"⚠ Bill not found – treated as on account",IF(F287="","✔ On account","✔")))))))</f>
        <v/>
      </c>
      <c r="J287" s="9" t="n">
        <f aca="false">IF(C287="",0,IF(F287="",N(D287),IF(COUNTIFS(Bills!$D$8:$D$507,C287,Bills!$C$8:$C$507,F287)&gt;0,0,N(D287))))</f>
        <v>0</v>
      </c>
    </row>
    <row r="288" customFormat="false" ht="15" hidden="false" customHeight="false" outlineLevel="0" collapsed="false">
      <c r="A288" s="40" t="str">
        <f aca="false">IF(C288="","",ROW()-7)</f>
        <v/>
      </c>
      <c r="B288" s="79"/>
      <c r="C288" s="76"/>
      <c r="D288" s="80"/>
      <c r="E288" s="78"/>
      <c r="F288" s="75"/>
      <c r="G288" s="75"/>
      <c r="H288" s="76"/>
      <c r="I288" s="50" t="str">
        <f aca="false">IF(AND(C288="",B288="",D288=""),"",IF(C288="","⚠ Pick supplier",IF(ISNA(MATCH(C288,Suppliers!$B$7:$B$106,0)),"⚠ Supplier not in list",IF(B288="","⚠ Enter date",IF(N(D288)&lt;=0,"⚠ Enter amount",IF(AND(F288&lt;&gt;"",NOT(COUNTIFS(Bills!$D$8:$D$507,C288,Bills!$C$8:$C$507,F288)&gt;0)),"⚠ Bill not found – treated as on account",IF(F288="","✔ On account","✔")))))))</f>
        <v/>
      </c>
      <c r="J288" s="9" t="n">
        <f aca="false">IF(C288="",0,IF(F288="",N(D288),IF(COUNTIFS(Bills!$D$8:$D$507,C288,Bills!$C$8:$C$507,F288)&gt;0,0,N(D288))))</f>
        <v>0</v>
      </c>
    </row>
    <row r="289" customFormat="false" ht="15" hidden="false" customHeight="false" outlineLevel="0" collapsed="false">
      <c r="A289" s="40" t="str">
        <f aca="false">IF(C289="","",ROW()-7)</f>
        <v/>
      </c>
      <c r="B289" s="79"/>
      <c r="C289" s="76"/>
      <c r="D289" s="80"/>
      <c r="E289" s="78"/>
      <c r="F289" s="75"/>
      <c r="G289" s="75"/>
      <c r="H289" s="76"/>
      <c r="I289" s="50" t="str">
        <f aca="false">IF(AND(C289="",B289="",D289=""),"",IF(C289="","⚠ Pick supplier",IF(ISNA(MATCH(C289,Suppliers!$B$7:$B$106,0)),"⚠ Supplier not in list",IF(B289="","⚠ Enter date",IF(N(D289)&lt;=0,"⚠ Enter amount",IF(AND(F289&lt;&gt;"",NOT(COUNTIFS(Bills!$D$8:$D$507,C289,Bills!$C$8:$C$507,F289)&gt;0)),"⚠ Bill not found – treated as on account",IF(F289="","✔ On account","✔")))))))</f>
        <v/>
      </c>
      <c r="J289" s="9" t="n">
        <f aca="false">IF(C289="",0,IF(F289="",N(D289),IF(COUNTIFS(Bills!$D$8:$D$507,C289,Bills!$C$8:$C$507,F289)&gt;0,0,N(D289))))</f>
        <v>0</v>
      </c>
    </row>
    <row r="290" customFormat="false" ht="15" hidden="false" customHeight="false" outlineLevel="0" collapsed="false">
      <c r="A290" s="40" t="str">
        <f aca="false">IF(C290="","",ROW()-7)</f>
        <v/>
      </c>
      <c r="B290" s="79"/>
      <c r="C290" s="76"/>
      <c r="D290" s="80"/>
      <c r="E290" s="78"/>
      <c r="F290" s="75"/>
      <c r="G290" s="75"/>
      <c r="H290" s="76"/>
      <c r="I290" s="50" t="str">
        <f aca="false">IF(AND(C290="",B290="",D290=""),"",IF(C290="","⚠ Pick supplier",IF(ISNA(MATCH(C290,Suppliers!$B$7:$B$106,0)),"⚠ Supplier not in list",IF(B290="","⚠ Enter date",IF(N(D290)&lt;=0,"⚠ Enter amount",IF(AND(F290&lt;&gt;"",NOT(COUNTIFS(Bills!$D$8:$D$507,C290,Bills!$C$8:$C$507,F290)&gt;0)),"⚠ Bill not found – treated as on account",IF(F290="","✔ On account","✔")))))))</f>
        <v/>
      </c>
      <c r="J290" s="9" t="n">
        <f aca="false">IF(C290="",0,IF(F290="",N(D290),IF(COUNTIFS(Bills!$D$8:$D$507,C290,Bills!$C$8:$C$507,F290)&gt;0,0,N(D290))))</f>
        <v>0</v>
      </c>
    </row>
    <row r="291" customFormat="false" ht="15" hidden="false" customHeight="false" outlineLevel="0" collapsed="false">
      <c r="A291" s="40" t="str">
        <f aca="false">IF(C291="","",ROW()-7)</f>
        <v/>
      </c>
      <c r="B291" s="79"/>
      <c r="C291" s="76"/>
      <c r="D291" s="80"/>
      <c r="E291" s="78"/>
      <c r="F291" s="75"/>
      <c r="G291" s="75"/>
      <c r="H291" s="76"/>
      <c r="I291" s="50" t="str">
        <f aca="false">IF(AND(C291="",B291="",D291=""),"",IF(C291="","⚠ Pick supplier",IF(ISNA(MATCH(C291,Suppliers!$B$7:$B$106,0)),"⚠ Supplier not in list",IF(B291="","⚠ Enter date",IF(N(D291)&lt;=0,"⚠ Enter amount",IF(AND(F291&lt;&gt;"",NOT(COUNTIFS(Bills!$D$8:$D$507,C291,Bills!$C$8:$C$507,F291)&gt;0)),"⚠ Bill not found – treated as on account",IF(F291="","✔ On account","✔")))))))</f>
        <v/>
      </c>
      <c r="J291" s="9" t="n">
        <f aca="false">IF(C291="",0,IF(F291="",N(D291),IF(COUNTIFS(Bills!$D$8:$D$507,C291,Bills!$C$8:$C$507,F291)&gt;0,0,N(D291))))</f>
        <v>0</v>
      </c>
    </row>
    <row r="292" customFormat="false" ht="15" hidden="false" customHeight="false" outlineLevel="0" collapsed="false">
      <c r="A292" s="40" t="str">
        <f aca="false">IF(C292="","",ROW()-7)</f>
        <v/>
      </c>
      <c r="B292" s="79"/>
      <c r="C292" s="76"/>
      <c r="D292" s="80"/>
      <c r="E292" s="78"/>
      <c r="F292" s="75"/>
      <c r="G292" s="75"/>
      <c r="H292" s="76"/>
      <c r="I292" s="50" t="str">
        <f aca="false">IF(AND(C292="",B292="",D292=""),"",IF(C292="","⚠ Pick supplier",IF(ISNA(MATCH(C292,Suppliers!$B$7:$B$106,0)),"⚠ Supplier not in list",IF(B292="","⚠ Enter date",IF(N(D292)&lt;=0,"⚠ Enter amount",IF(AND(F292&lt;&gt;"",NOT(COUNTIFS(Bills!$D$8:$D$507,C292,Bills!$C$8:$C$507,F292)&gt;0)),"⚠ Bill not found – treated as on account",IF(F292="","✔ On account","✔")))))))</f>
        <v/>
      </c>
      <c r="J292" s="9" t="n">
        <f aca="false">IF(C292="",0,IF(F292="",N(D292),IF(COUNTIFS(Bills!$D$8:$D$507,C292,Bills!$C$8:$C$507,F292)&gt;0,0,N(D292))))</f>
        <v>0</v>
      </c>
    </row>
    <row r="293" customFormat="false" ht="15" hidden="false" customHeight="false" outlineLevel="0" collapsed="false">
      <c r="A293" s="40" t="str">
        <f aca="false">IF(C293="","",ROW()-7)</f>
        <v/>
      </c>
      <c r="B293" s="79"/>
      <c r="C293" s="76"/>
      <c r="D293" s="80"/>
      <c r="E293" s="78"/>
      <c r="F293" s="75"/>
      <c r="G293" s="75"/>
      <c r="H293" s="76"/>
      <c r="I293" s="50" t="str">
        <f aca="false">IF(AND(C293="",B293="",D293=""),"",IF(C293="","⚠ Pick supplier",IF(ISNA(MATCH(C293,Suppliers!$B$7:$B$106,0)),"⚠ Supplier not in list",IF(B293="","⚠ Enter date",IF(N(D293)&lt;=0,"⚠ Enter amount",IF(AND(F293&lt;&gt;"",NOT(COUNTIFS(Bills!$D$8:$D$507,C293,Bills!$C$8:$C$507,F293)&gt;0)),"⚠ Bill not found – treated as on account",IF(F293="","✔ On account","✔")))))))</f>
        <v/>
      </c>
      <c r="J293" s="9" t="n">
        <f aca="false">IF(C293="",0,IF(F293="",N(D293),IF(COUNTIFS(Bills!$D$8:$D$507,C293,Bills!$C$8:$C$507,F293)&gt;0,0,N(D293))))</f>
        <v>0</v>
      </c>
    </row>
    <row r="294" customFormat="false" ht="15" hidden="false" customHeight="false" outlineLevel="0" collapsed="false">
      <c r="A294" s="40" t="str">
        <f aca="false">IF(C294="","",ROW()-7)</f>
        <v/>
      </c>
      <c r="B294" s="79"/>
      <c r="C294" s="76"/>
      <c r="D294" s="80"/>
      <c r="E294" s="78"/>
      <c r="F294" s="75"/>
      <c r="G294" s="75"/>
      <c r="H294" s="76"/>
      <c r="I294" s="50" t="str">
        <f aca="false">IF(AND(C294="",B294="",D294=""),"",IF(C294="","⚠ Pick supplier",IF(ISNA(MATCH(C294,Suppliers!$B$7:$B$106,0)),"⚠ Supplier not in list",IF(B294="","⚠ Enter date",IF(N(D294)&lt;=0,"⚠ Enter amount",IF(AND(F294&lt;&gt;"",NOT(COUNTIFS(Bills!$D$8:$D$507,C294,Bills!$C$8:$C$507,F294)&gt;0)),"⚠ Bill not found – treated as on account",IF(F294="","✔ On account","✔")))))))</f>
        <v/>
      </c>
      <c r="J294" s="9" t="n">
        <f aca="false">IF(C294="",0,IF(F294="",N(D294),IF(COUNTIFS(Bills!$D$8:$D$507,C294,Bills!$C$8:$C$507,F294)&gt;0,0,N(D294))))</f>
        <v>0</v>
      </c>
    </row>
    <row r="295" customFormat="false" ht="15" hidden="false" customHeight="false" outlineLevel="0" collapsed="false">
      <c r="A295" s="40" t="str">
        <f aca="false">IF(C295="","",ROW()-7)</f>
        <v/>
      </c>
      <c r="B295" s="79"/>
      <c r="C295" s="76"/>
      <c r="D295" s="80"/>
      <c r="E295" s="78"/>
      <c r="F295" s="75"/>
      <c r="G295" s="75"/>
      <c r="H295" s="76"/>
      <c r="I295" s="50" t="str">
        <f aca="false">IF(AND(C295="",B295="",D295=""),"",IF(C295="","⚠ Pick supplier",IF(ISNA(MATCH(C295,Suppliers!$B$7:$B$106,0)),"⚠ Supplier not in list",IF(B295="","⚠ Enter date",IF(N(D295)&lt;=0,"⚠ Enter amount",IF(AND(F295&lt;&gt;"",NOT(COUNTIFS(Bills!$D$8:$D$507,C295,Bills!$C$8:$C$507,F295)&gt;0)),"⚠ Bill not found – treated as on account",IF(F295="","✔ On account","✔")))))))</f>
        <v/>
      </c>
      <c r="J295" s="9" t="n">
        <f aca="false">IF(C295="",0,IF(F295="",N(D295),IF(COUNTIFS(Bills!$D$8:$D$507,C295,Bills!$C$8:$C$507,F295)&gt;0,0,N(D295))))</f>
        <v>0</v>
      </c>
    </row>
    <row r="296" customFormat="false" ht="15" hidden="false" customHeight="false" outlineLevel="0" collapsed="false">
      <c r="A296" s="40" t="str">
        <f aca="false">IF(C296="","",ROW()-7)</f>
        <v/>
      </c>
      <c r="B296" s="79"/>
      <c r="C296" s="76"/>
      <c r="D296" s="80"/>
      <c r="E296" s="78"/>
      <c r="F296" s="75"/>
      <c r="G296" s="75"/>
      <c r="H296" s="76"/>
      <c r="I296" s="50" t="str">
        <f aca="false">IF(AND(C296="",B296="",D296=""),"",IF(C296="","⚠ Pick supplier",IF(ISNA(MATCH(C296,Suppliers!$B$7:$B$106,0)),"⚠ Supplier not in list",IF(B296="","⚠ Enter date",IF(N(D296)&lt;=0,"⚠ Enter amount",IF(AND(F296&lt;&gt;"",NOT(COUNTIFS(Bills!$D$8:$D$507,C296,Bills!$C$8:$C$507,F296)&gt;0)),"⚠ Bill not found – treated as on account",IF(F296="","✔ On account","✔")))))))</f>
        <v/>
      </c>
      <c r="J296" s="9" t="n">
        <f aca="false">IF(C296="",0,IF(F296="",N(D296),IF(COUNTIFS(Bills!$D$8:$D$507,C296,Bills!$C$8:$C$507,F296)&gt;0,0,N(D296))))</f>
        <v>0</v>
      </c>
    </row>
    <row r="297" customFormat="false" ht="15" hidden="false" customHeight="false" outlineLevel="0" collapsed="false">
      <c r="A297" s="40" t="str">
        <f aca="false">IF(C297="","",ROW()-7)</f>
        <v/>
      </c>
      <c r="B297" s="79"/>
      <c r="C297" s="76"/>
      <c r="D297" s="80"/>
      <c r="E297" s="78"/>
      <c r="F297" s="75"/>
      <c r="G297" s="75"/>
      <c r="H297" s="76"/>
      <c r="I297" s="50" t="str">
        <f aca="false">IF(AND(C297="",B297="",D297=""),"",IF(C297="","⚠ Pick supplier",IF(ISNA(MATCH(C297,Suppliers!$B$7:$B$106,0)),"⚠ Supplier not in list",IF(B297="","⚠ Enter date",IF(N(D297)&lt;=0,"⚠ Enter amount",IF(AND(F297&lt;&gt;"",NOT(COUNTIFS(Bills!$D$8:$D$507,C297,Bills!$C$8:$C$507,F297)&gt;0)),"⚠ Bill not found – treated as on account",IF(F297="","✔ On account","✔")))))))</f>
        <v/>
      </c>
      <c r="J297" s="9" t="n">
        <f aca="false">IF(C297="",0,IF(F297="",N(D297),IF(COUNTIFS(Bills!$D$8:$D$507,C297,Bills!$C$8:$C$507,F297)&gt;0,0,N(D297))))</f>
        <v>0</v>
      </c>
    </row>
    <row r="298" customFormat="false" ht="15" hidden="false" customHeight="false" outlineLevel="0" collapsed="false">
      <c r="A298" s="40" t="str">
        <f aca="false">IF(C298="","",ROW()-7)</f>
        <v/>
      </c>
      <c r="B298" s="79"/>
      <c r="C298" s="76"/>
      <c r="D298" s="80"/>
      <c r="E298" s="78"/>
      <c r="F298" s="75"/>
      <c r="G298" s="75"/>
      <c r="H298" s="76"/>
      <c r="I298" s="50" t="str">
        <f aca="false">IF(AND(C298="",B298="",D298=""),"",IF(C298="","⚠ Pick supplier",IF(ISNA(MATCH(C298,Suppliers!$B$7:$B$106,0)),"⚠ Supplier not in list",IF(B298="","⚠ Enter date",IF(N(D298)&lt;=0,"⚠ Enter amount",IF(AND(F298&lt;&gt;"",NOT(COUNTIFS(Bills!$D$8:$D$507,C298,Bills!$C$8:$C$507,F298)&gt;0)),"⚠ Bill not found – treated as on account",IF(F298="","✔ On account","✔")))))))</f>
        <v/>
      </c>
      <c r="J298" s="9" t="n">
        <f aca="false">IF(C298="",0,IF(F298="",N(D298),IF(COUNTIFS(Bills!$D$8:$D$507,C298,Bills!$C$8:$C$507,F298)&gt;0,0,N(D298))))</f>
        <v>0</v>
      </c>
    </row>
    <row r="299" customFormat="false" ht="15" hidden="false" customHeight="false" outlineLevel="0" collapsed="false">
      <c r="A299" s="40" t="str">
        <f aca="false">IF(C299="","",ROW()-7)</f>
        <v/>
      </c>
      <c r="B299" s="79"/>
      <c r="C299" s="76"/>
      <c r="D299" s="80"/>
      <c r="E299" s="78"/>
      <c r="F299" s="75"/>
      <c r="G299" s="75"/>
      <c r="H299" s="76"/>
      <c r="I299" s="50" t="str">
        <f aca="false">IF(AND(C299="",B299="",D299=""),"",IF(C299="","⚠ Pick supplier",IF(ISNA(MATCH(C299,Suppliers!$B$7:$B$106,0)),"⚠ Supplier not in list",IF(B299="","⚠ Enter date",IF(N(D299)&lt;=0,"⚠ Enter amount",IF(AND(F299&lt;&gt;"",NOT(COUNTIFS(Bills!$D$8:$D$507,C299,Bills!$C$8:$C$507,F299)&gt;0)),"⚠ Bill not found – treated as on account",IF(F299="","✔ On account","✔")))))))</f>
        <v/>
      </c>
      <c r="J299" s="9" t="n">
        <f aca="false">IF(C299="",0,IF(F299="",N(D299),IF(COUNTIFS(Bills!$D$8:$D$507,C299,Bills!$C$8:$C$507,F299)&gt;0,0,N(D299))))</f>
        <v>0</v>
      </c>
    </row>
    <row r="300" customFormat="false" ht="15" hidden="false" customHeight="false" outlineLevel="0" collapsed="false">
      <c r="A300" s="40" t="str">
        <f aca="false">IF(C300="","",ROW()-7)</f>
        <v/>
      </c>
      <c r="B300" s="79"/>
      <c r="C300" s="76"/>
      <c r="D300" s="80"/>
      <c r="E300" s="78"/>
      <c r="F300" s="75"/>
      <c r="G300" s="75"/>
      <c r="H300" s="76"/>
      <c r="I300" s="50" t="str">
        <f aca="false">IF(AND(C300="",B300="",D300=""),"",IF(C300="","⚠ Pick supplier",IF(ISNA(MATCH(C300,Suppliers!$B$7:$B$106,0)),"⚠ Supplier not in list",IF(B300="","⚠ Enter date",IF(N(D300)&lt;=0,"⚠ Enter amount",IF(AND(F300&lt;&gt;"",NOT(COUNTIFS(Bills!$D$8:$D$507,C300,Bills!$C$8:$C$507,F300)&gt;0)),"⚠ Bill not found – treated as on account",IF(F300="","✔ On account","✔")))))))</f>
        <v/>
      </c>
      <c r="J300" s="9" t="n">
        <f aca="false">IF(C300="",0,IF(F300="",N(D300),IF(COUNTIFS(Bills!$D$8:$D$507,C300,Bills!$C$8:$C$507,F300)&gt;0,0,N(D300))))</f>
        <v>0</v>
      </c>
    </row>
    <row r="301" customFormat="false" ht="15" hidden="false" customHeight="false" outlineLevel="0" collapsed="false">
      <c r="A301" s="40" t="str">
        <f aca="false">IF(C301="","",ROW()-7)</f>
        <v/>
      </c>
      <c r="B301" s="79"/>
      <c r="C301" s="76"/>
      <c r="D301" s="80"/>
      <c r="E301" s="78"/>
      <c r="F301" s="75"/>
      <c r="G301" s="75"/>
      <c r="H301" s="76"/>
      <c r="I301" s="50" t="str">
        <f aca="false">IF(AND(C301="",B301="",D301=""),"",IF(C301="","⚠ Pick supplier",IF(ISNA(MATCH(C301,Suppliers!$B$7:$B$106,0)),"⚠ Supplier not in list",IF(B301="","⚠ Enter date",IF(N(D301)&lt;=0,"⚠ Enter amount",IF(AND(F301&lt;&gt;"",NOT(COUNTIFS(Bills!$D$8:$D$507,C301,Bills!$C$8:$C$507,F301)&gt;0)),"⚠ Bill not found – treated as on account",IF(F301="","✔ On account","✔")))))))</f>
        <v/>
      </c>
      <c r="J301" s="9" t="n">
        <f aca="false">IF(C301="",0,IF(F301="",N(D301),IF(COUNTIFS(Bills!$D$8:$D$507,C301,Bills!$C$8:$C$507,F301)&gt;0,0,N(D301))))</f>
        <v>0</v>
      </c>
    </row>
    <row r="302" customFormat="false" ht="15" hidden="false" customHeight="false" outlineLevel="0" collapsed="false">
      <c r="A302" s="40" t="str">
        <f aca="false">IF(C302="","",ROW()-7)</f>
        <v/>
      </c>
      <c r="B302" s="79"/>
      <c r="C302" s="76"/>
      <c r="D302" s="80"/>
      <c r="E302" s="78"/>
      <c r="F302" s="75"/>
      <c r="G302" s="75"/>
      <c r="H302" s="76"/>
      <c r="I302" s="50" t="str">
        <f aca="false">IF(AND(C302="",B302="",D302=""),"",IF(C302="","⚠ Pick supplier",IF(ISNA(MATCH(C302,Suppliers!$B$7:$B$106,0)),"⚠ Supplier not in list",IF(B302="","⚠ Enter date",IF(N(D302)&lt;=0,"⚠ Enter amount",IF(AND(F302&lt;&gt;"",NOT(COUNTIFS(Bills!$D$8:$D$507,C302,Bills!$C$8:$C$507,F302)&gt;0)),"⚠ Bill not found – treated as on account",IF(F302="","✔ On account","✔")))))))</f>
        <v/>
      </c>
      <c r="J302" s="9" t="n">
        <f aca="false">IF(C302="",0,IF(F302="",N(D302),IF(COUNTIFS(Bills!$D$8:$D$507,C302,Bills!$C$8:$C$507,F302)&gt;0,0,N(D302))))</f>
        <v>0</v>
      </c>
    </row>
    <row r="303" customFormat="false" ht="15" hidden="false" customHeight="false" outlineLevel="0" collapsed="false">
      <c r="A303" s="40" t="str">
        <f aca="false">IF(C303="","",ROW()-7)</f>
        <v/>
      </c>
      <c r="B303" s="79"/>
      <c r="C303" s="76"/>
      <c r="D303" s="80"/>
      <c r="E303" s="78"/>
      <c r="F303" s="75"/>
      <c r="G303" s="75"/>
      <c r="H303" s="76"/>
      <c r="I303" s="50" t="str">
        <f aca="false">IF(AND(C303="",B303="",D303=""),"",IF(C303="","⚠ Pick supplier",IF(ISNA(MATCH(C303,Suppliers!$B$7:$B$106,0)),"⚠ Supplier not in list",IF(B303="","⚠ Enter date",IF(N(D303)&lt;=0,"⚠ Enter amount",IF(AND(F303&lt;&gt;"",NOT(COUNTIFS(Bills!$D$8:$D$507,C303,Bills!$C$8:$C$507,F303)&gt;0)),"⚠ Bill not found – treated as on account",IF(F303="","✔ On account","✔")))))))</f>
        <v/>
      </c>
      <c r="J303" s="9" t="n">
        <f aca="false">IF(C303="",0,IF(F303="",N(D303),IF(COUNTIFS(Bills!$D$8:$D$507,C303,Bills!$C$8:$C$507,F303)&gt;0,0,N(D303))))</f>
        <v>0</v>
      </c>
    </row>
    <row r="304" customFormat="false" ht="15" hidden="false" customHeight="false" outlineLevel="0" collapsed="false">
      <c r="A304" s="40" t="str">
        <f aca="false">IF(C304="","",ROW()-7)</f>
        <v/>
      </c>
      <c r="B304" s="79"/>
      <c r="C304" s="76"/>
      <c r="D304" s="80"/>
      <c r="E304" s="78"/>
      <c r="F304" s="75"/>
      <c r="G304" s="75"/>
      <c r="H304" s="76"/>
      <c r="I304" s="50" t="str">
        <f aca="false">IF(AND(C304="",B304="",D304=""),"",IF(C304="","⚠ Pick supplier",IF(ISNA(MATCH(C304,Suppliers!$B$7:$B$106,0)),"⚠ Supplier not in list",IF(B304="","⚠ Enter date",IF(N(D304)&lt;=0,"⚠ Enter amount",IF(AND(F304&lt;&gt;"",NOT(COUNTIFS(Bills!$D$8:$D$507,C304,Bills!$C$8:$C$507,F304)&gt;0)),"⚠ Bill not found – treated as on account",IF(F304="","✔ On account","✔")))))))</f>
        <v/>
      </c>
      <c r="J304" s="9" t="n">
        <f aca="false">IF(C304="",0,IF(F304="",N(D304),IF(COUNTIFS(Bills!$D$8:$D$507,C304,Bills!$C$8:$C$507,F304)&gt;0,0,N(D304))))</f>
        <v>0</v>
      </c>
    </row>
    <row r="305" customFormat="false" ht="15" hidden="false" customHeight="false" outlineLevel="0" collapsed="false">
      <c r="A305" s="40" t="str">
        <f aca="false">IF(C305="","",ROW()-7)</f>
        <v/>
      </c>
      <c r="B305" s="79"/>
      <c r="C305" s="76"/>
      <c r="D305" s="80"/>
      <c r="E305" s="78"/>
      <c r="F305" s="75"/>
      <c r="G305" s="75"/>
      <c r="H305" s="76"/>
      <c r="I305" s="50" t="str">
        <f aca="false">IF(AND(C305="",B305="",D305=""),"",IF(C305="","⚠ Pick supplier",IF(ISNA(MATCH(C305,Suppliers!$B$7:$B$106,0)),"⚠ Supplier not in list",IF(B305="","⚠ Enter date",IF(N(D305)&lt;=0,"⚠ Enter amount",IF(AND(F305&lt;&gt;"",NOT(COUNTIFS(Bills!$D$8:$D$507,C305,Bills!$C$8:$C$507,F305)&gt;0)),"⚠ Bill not found – treated as on account",IF(F305="","✔ On account","✔")))))))</f>
        <v/>
      </c>
      <c r="J305" s="9" t="n">
        <f aca="false">IF(C305="",0,IF(F305="",N(D305),IF(COUNTIFS(Bills!$D$8:$D$507,C305,Bills!$C$8:$C$507,F305)&gt;0,0,N(D305))))</f>
        <v>0</v>
      </c>
    </row>
    <row r="306" customFormat="false" ht="15" hidden="false" customHeight="false" outlineLevel="0" collapsed="false">
      <c r="A306" s="40" t="str">
        <f aca="false">IF(C306="","",ROW()-7)</f>
        <v/>
      </c>
      <c r="B306" s="79"/>
      <c r="C306" s="76"/>
      <c r="D306" s="80"/>
      <c r="E306" s="78"/>
      <c r="F306" s="75"/>
      <c r="G306" s="75"/>
      <c r="H306" s="76"/>
      <c r="I306" s="50" t="str">
        <f aca="false">IF(AND(C306="",B306="",D306=""),"",IF(C306="","⚠ Pick supplier",IF(ISNA(MATCH(C306,Suppliers!$B$7:$B$106,0)),"⚠ Supplier not in list",IF(B306="","⚠ Enter date",IF(N(D306)&lt;=0,"⚠ Enter amount",IF(AND(F306&lt;&gt;"",NOT(COUNTIFS(Bills!$D$8:$D$507,C306,Bills!$C$8:$C$507,F306)&gt;0)),"⚠ Bill not found – treated as on account",IF(F306="","✔ On account","✔")))))))</f>
        <v/>
      </c>
      <c r="J306" s="9" t="n">
        <f aca="false">IF(C306="",0,IF(F306="",N(D306),IF(COUNTIFS(Bills!$D$8:$D$507,C306,Bills!$C$8:$C$507,F306)&gt;0,0,N(D306))))</f>
        <v>0</v>
      </c>
    </row>
    <row r="307" customFormat="false" ht="15" hidden="false" customHeight="false" outlineLevel="0" collapsed="false">
      <c r="A307" s="40" t="str">
        <f aca="false">IF(C307="","",ROW()-7)</f>
        <v/>
      </c>
      <c r="B307" s="79"/>
      <c r="C307" s="76"/>
      <c r="D307" s="80"/>
      <c r="E307" s="78"/>
      <c r="F307" s="75"/>
      <c r="G307" s="75"/>
      <c r="H307" s="76"/>
      <c r="I307" s="50" t="str">
        <f aca="false">IF(AND(C307="",B307="",D307=""),"",IF(C307="","⚠ Pick supplier",IF(ISNA(MATCH(C307,Suppliers!$B$7:$B$106,0)),"⚠ Supplier not in list",IF(B307="","⚠ Enter date",IF(N(D307)&lt;=0,"⚠ Enter amount",IF(AND(F307&lt;&gt;"",NOT(COUNTIFS(Bills!$D$8:$D$507,C307,Bills!$C$8:$C$507,F307)&gt;0)),"⚠ Bill not found – treated as on account",IF(F307="","✔ On account","✔")))))))</f>
        <v/>
      </c>
      <c r="J307" s="9" t="n">
        <f aca="false">IF(C307="",0,IF(F307="",N(D307),IF(COUNTIFS(Bills!$D$8:$D$507,C307,Bills!$C$8:$C$507,F307)&gt;0,0,N(D307))))</f>
        <v>0</v>
      </c>
    </row>
    <row r="308" customFormat="false" ht="15" hidden="false" customHeight="false" outlineLevel="0" collapsed="false">
      <c r="A308" s="40" t="str">
        <f aca="false">IF(C308="","",ROW()-7)</f>
        <v/>
      </c>
      <c r="B308" s="79"/>
      <c r="C308" s="76"/>
      <c r="D308" s="80"/>
      <c r="E308" s="78"/>
      <c r="F308" s="75"/>
      <c r="G308" s="75"/>
      <c r="H308" s="76"/>
      <c r="I308" s="50" t="str">
        <f aca="false">IF(AND(C308="",B308="",D308=""),"",IF(C308="","⚠ Pick supplier",IF(ISNA(MATCH(C308,Suppliers!$B$7:$B$106,0)),"⚠ Supplier not in list",IF(B308="","⚠ Enter date",IF(N(D308)&lt;=0,"⚠ Enter amount",IF(AND(F308&lt;&gt;"",NOT(COUNTIFS(Bills!$D$8:$D$507,C308,Bills!$C$8:$C$507,F308)&gt;0)),"⚠ Bill not found – treated as on account",IF(F308="","✔ On account","✔")))))))</f>
        <v/>
      </c>
      <c r="J308" s="9" t="n">
        <f aca="false">IF(C308="",0,IF(F308="",N(D308),IF(COUNTIFS(Bills!$D$8:$D$507,C308,Bills!$C$8:$C$507,F308)&gt;0,0,N(D308))))</f>
        <v>0</v>
      </c>
    </row>
    <row r="309" customFormat="false" ht="15" hidden="false" customHeight="false" outlineLevel="0" collapsed="false">
      <c r="A309" s="40" t="str">
        <f aca="false">IF(C309="","",ROW()-7)</f>
        <v/>
      </c>
      <c r="B309" s="79"/>
      <c r="C309" s="76"/>
      <c r="D309" s="80"/>
      <c r="E309" s="78"/>
      <c r="F309" s="75"/>
      <c r="G309" s="75"/>
      <c r="H309" s="76"/>
      <c r="I309" s="50" t="str">
        <f aca="false">IF(AND(C309="",B309="",D309=""),"",IF(C309="","⚠ Pick supplier",IF(ISNA(MATCH(C309,Suppliers!$B$7:$B$106,0)),"⚠ Supplier not in list",IF(B309="","⚠ Enter date",IF(N(D309)&lt;=0,"⚠ Enter amount",IF(AND(F309&lt;&gt;"",NOT(COUNTIFS(Bills!$D$8:$D$507,C309,Bills!$C$8:$C$507,F309)&gt;0)),"⚠ Bill not found – treated as on account",IF(F309="","✔ On account","✔")))))))</f>
        <v/>
      </c>
      <c r="J309" s="9" t="n">
        <f aca="false">IF(C309="",0,IF(F309="",N(D309),IF(COUNTIFS(Bills!$D$8:$D$507,C309,Bills!$C$8:$C$507,F309)&gt;0,0,N(D309))))</f>
        <v>0</v>
      </c>
    </row>
    <row r="310" customFormat="false" ht="15" hidden="false" customHeight="false" outlineLevel="0" collapsed="false">
      <c r="A310" s="40" t="str">
        <f aca="false">IF(C310="","",ROW()-7)</f>
        <v/>
      </c>
      <c r="B310" s="79"/>
      <c r="C310" s="76"/>
      <c r="D310" s="80"/>
      <c r="E310" s="78"/>
      <c r="F310" s="75"/>
      <c r="G310" s="75"/>
      <c r="H310" s="76"/>
      <c r="I310" s="50" t="str">
        <f aca="false">IF(AND(C310="",B310="",D310=""),"",IF(C310="","⚠ Pick supplier",IF(ISNA(MATCH(C310,Suppliers!$B$7:$B$106,0)),"⚠ Supplier not in list",IF(B310="","⚠ Enter date",IF(N(D310)&lt;=0,"⚠ Enter amount",IF(AND(F310&lt;&gt;"",NOT(COUNTIFS(Bills!$D$8:$D$507,C310,Bills!$C$8:$C$507,F310)&gt;0)),"⚠ Bill not found – treated as on account",IF(F310="","✔ On account","✔")))))))</f>
        <v/>
      </c>
      <c r="J310" s="9" t="n">
        <f aca="false">IF(C310="",0,IF(F310="",N(D310),IF(COUNTIFS(Bills!$D$8:$D$507,C310,Bills!$C$8:$C$507,F310)&gt;0,0,N(D310))))</f>
        <v>0</v>
      </c>
    </row>
    <row r="311" customFormat="false" ht="15" hidden="false" customHeight="false" outlineLevel="0" collapsed="false">
      <c r="A311" s="40" t="str">
        <f aca="false">IF(C311="","",ROW()-7)</f>
        <v/>
      </c>
      <c r="B311" s="79"/>
      <c r="C311" s="76"/>
      <c r="D311" s="80"/>
      <c r="E311" s="78"/>
      <c r="F311" s="75"/>
      <c r="G311" s="75"/>
      <c r="H311" s="76"/>
      <c r="I311" s="50" t="str">
        <f aca="false">IF(AND(C311="",B311="",D311=""),"",IF(C311="","⚠ Pick supplier",IF(ISNA(MATCH(C311,Suppliers!$B$7:$B$106,0)),"⚠ Supplier not in list",IF(B311="","⚠ Enter date",IF(N(D311)&lt;=0,"⚠ Enter amount",IF(AND(F311&lt;&gt;"",NOT(COUNTIFS(Bills!$D$8:$D$507,C311,Bills!$C$8:$C$507,F311)&gt;0)),"⚠ Bill not found – treated as on account",IF(F311="","✔ On account","✔")))))))</f>
        <v/>
      </c>
      <c r="J311" s="9" t="n">
        <f aca="false">IF(C311="",0,IF(F311="",N(D311),IF(COUNTIFS(Bills!$D$8:$D$507,C311,Bills!$C$8:$C$507,F311)&gt;0,0,N(D311))))</f>
        <v>0</v>
      </c>
    </row>
    <row r="312" customFormat="false" ht="15" hidden="false" customHeight="false" outlineLevel="0" collapsed="false">
      <c r="A312" s="40" t="str">
        <f aca="false">IF(C312="","",ROW()-7)</f>
        <v/>
      </c>
      <c r="B312" s="79"/>
      <c r="C312" s="76"/>
      <c r="D312" s="80"/>
      <c r="E312" s="78"/>
      <c r="F312" s="75"/>
      <c r="G312" s="75"/>
      <c r="H312" s="76"/>
      <c r="I312" s="50" t="str">
        <f aca="false">IF(AND(C312="",B312="",D312=""),"",IF(C312="","⚠ Pick supplier",IF(ISNA(MATCH(C312,Suppliers!$B$7:$B$106,0)),"⚠ Supplier not in list",IF(B312="","⚠ Enter date",IF(N(D312)&lt;=0,"⚠ Enter amount",IF(AND(F312&lt;&gt;"",NOT(COUNTIFS(Bills!$D$8:$D$507,C312,Bills!$C$8:$C$507,F312)&gt;0)),"⚠ Bill not found – treated as on account",IF(F312="","✔ On account","✔")))))))</f>
        <v/>
      </c>
      <c r="J312" s="9" t="n">
        <f aca="false">IF(C312="",0,IF(F312="",N(D312),IF(COUNTIFS(Bills!$D$8:$D$507,C312,Bills!$C$8:$C$507,F312)&gt;0,0,N(D312))))</f>
        <v>0</v>
      </c>
    </row>
    <row r="313" customFormat="false" ht="15" hidden="false" customHeight="false" outlineLevel="0" collapsed="false">
      <c r="A313" s="40" t="str">
        <f aca="false">IF(C313="","",ROW()-7)</f>
        <v/>
      </c>
      <c r="B313" s="79"/>
      <c r="C313" s="76"/>
      <c r="D313" s="80"/>
      <c r="E313" s="78"/>
      <c r="F313" s="75"/>
      <c r="G313" s="75"/>
      <c r="H313" s="76"/>
      <c r="I313" s="50" t="str">
        <f aca="false">IF(AND(C313="",B313="",D313=""),"",IF(C313="","⚠ Pick supplier",IF(ISNA(MATCH(C313,Suppliers!$B$7:$B$106,0)),"⚠ Supplier not in list",IF(B313="","⚠ Enter date",IF(N(D313)&lt;=0,"⚠ Enter amount",IF(AND(F313&lt;&gt;"",NOT(COUNTIFS(Bills!$D$8:$D$507,C313,Bills!$C$8:$C$507,F313)&gt;0)),"⚠ Bill not found – treated as on account",IF(F313="","✔ On account","✔")))))))</f>
        <v/>
      </c>
      <c r="J313" s="9" t="n">
        <f aca="false">IF(C313="",0,IF(F313="",N(D313),IF(COUNTIFS(Bills!$D$8:$D$507,C313,Bills!$C$8:$C$507,F313)&gt;0,0,N(D313))))</f>
        <v>0</v>
      </c>
    </row>
    <row r="314" customFormat="false" ht="15" hidden="false" customHeight="false" outlineLevel="0" collapsed="false">
      <c r="A314" s="40" t="str">
        <f aca="false">IF(C314="","",ROW()-7)</f>
        <v/>
      </c>
      <c r="B314" s="79"/>
      <c r="C314" s="76"/>
      <c r="D314" s="80"/>
      <c r="E314" s="78"/>
      <c r="F314" s="75"/>
      <c r="G314" s="75"/>
      <c r="H314" s="76"/>
      <c r="I314" s="50" t="str">
        <f aca="false">IF(AND(C314="",B314="",D314=""),"",IF(C314="","⚠ Pick supplier",IF(ISNA(MATCH(C314,Suppliers!$B$7:$B$106,0)),"⚠ Supplier not in list",IF(B314="","⚠ Enter date",IF(N(D314)&lt;=0,"⚠ Enter amount",IF(AND(F314&lt;&gt;"",NOT(COUNTIFS(Bills!$D$8:$D$507,C314,Bills!$C$8:$C$507,F314)&gt;0)),"⚠ Bill not found – treated as on account",IF(F314="","✔ On account","✔")))))))</f>
        <v/>
      </c>
      <c r="J314" s="9" t="n">
        <f aca="false">IF(C314="",0,IF(F314="",N(D314),IF(COUNTIFS(Bills!$D$8:$D$507,C314,Bills!$C$8:$C$507,F314)&gt;0,0,N(D314))))</f>
        <v>0</v>
      </c>
    </row>
    <row r="315" customFormat="false" ht="15" hidden="false" customHeight="false" outlineLevel="0" collapsed="false">
      <c r="A315" s="40" t="str">
        <f aca="false">IF(C315="","",ROW()-7)</f>
        <v/>
      </c>
      <c r="B315" s="79"/>
      <c r="C315" s="76"/>
      <c r="D315" s="80"/>
      <c r="E315" s="78"/>
      <c r="F315" s="75"/>
      <c r="G315" s="75"/>
      <c r="H315" s="76"/>
      <c r="I315" s="50" t="str">
        <f aca="false">IF(AND(C315="",B315="",D315=""),"",IF(C315="","⚠ Pick supplier",IF(ISNA(MATCH(C315,Suppliers!$B$7:$B$106,0)),"⚠ Supplier not in list",IF(B315="","⚠ Enter date",IF(N(D315)&lt;=0,"⚠ Enter amount",IF(AND(F315&lt;&gt;"",NOT(COUNTIFS(Bills!$D$8:$D$507,C315,Bills!$C$8:$C$507,F315)&gt;0)),"⚠ Bill not found – treated as on account",IF(F315="","✔ On account","✔")))))))</f>
        <v/>
      </c>
      <c r="J315" s="9" t="n">
        <f aca="false">IF(C315="",0,IF(F315="",N(D315),IF(COUNTIFS(Bills!$D$8:$D$507,C315,Bills!$C$8:$C$507,F315)&gt;0,0,N(D315))))</f>
        <v>0</v>
      </c>
    </row>
    <row r="316" customFormat="false" ht="15" hidden="false" customHeight="false" outlineLevel="0" collapsed="false">
      <c r="A316" s="40" t="str">
        <f aca="false">IF(C316="","",ROW()-7)</f>
        <v/>
      </c>
      <c r="B316" s="79"/>
      <c r="C316" s="76"/>
      <c r="D316" s="80"/>
      <c r="E316" s="78"/>
      <c r="F316" s="75"/>
      <c r="G316" s="75"/>
      <c r="H316" s="76"/>
      <c r="I316" s="50" t="str">
        <f aca="false">IF(AND(C316="",B316="",D316=""),"",IF(C316="","⚠ Pick supplier",IF(ISNA(MATCH(C316,Suppliers!$B$7:$B$106,0)),"⚠ Supplier not in list",IF(B316="","⚠ Enter date",IF(N(D316)&lt;=0,"⚠ Enter amount",IF(AND(F316&lt;&gt;"",NOT(COUNTIFS(Bills!$D$8:$D$507,C316,Bills!$C$8:$C$507,F316)&gt;0)),"⚠ Bill not found – treated as on account",IF(F316="","✔ On account","✔")))))))</f>
        <v/>
      </c>
      <c r="J316" s="9" t="n">
        <f aca="false">IF(C316="",0,IF(F316="",N(D316),IF(COUNTIFS(Bills!$D$8:$D$507,C316,Bills!$C$8:$C$507,F316)&gt;0,0,N(D316))))</f>
        <v>0</v>
      </c>
    </row>
    <row r="317" customFormat="false" ht="15" hidden="false" customHeight="false" outlineLevel="0" collapsed="false">
      <c r="A317" s="40" t="str">
        <f aca="false">IF(C317="","",ROW()-7)</f>
        <v/>
      </c>
      <c r="B317" s="79"/>
      <c r="C317" s="76"/>
      <c r="D317" s="80"/>
      <c r="E317" s="78"/>
      <c r="F317" s="75"/>
      <c r="G317" s="75"/>
      <c r="H317" s="76"/>
      <c r="I317" s="50" t="str">
        <f aca="false">IF(AND(C317="",B317="",D317=""),"",IF(C317="","⚠ Pick supplier",IF(ISNA(MATCH(C317,Suppliers!$B$7:$B$106,0)),"⚠ Supplier not in list",IF(B317="","⚠ Enter date",IF(N(D317)&lt;=0,"⚠ Enter amount",IF(AND(F317&lt;&gt;"",NOT(COUNTIFS(Bills!$D$8:$D$507,C317,Bills!$C$8:$C$507,F317)&gt;0)),"⚠ Bill not found – treated as on account",IF(F317="","✔ On account","✔")))))))</f>
        <v/>
      </c>
      <c r="J317" s="9" t="n">
        <f aca="false">IF(C317="",0,IF(F317="",N(D317),IF(COUNTIFS(Bills!$D$8:$D$507,C317,Bills!$C$8:$C$507,F317)&gt;0,0,N(D317))))</f>
        <v>0</v>
      </c>
    </row>
    <row r="318" customFormat="false" ht="15" hidden="false" customHeight="false" outlineLevel="0" collapsed="false">
      <c r="A318" s="40" t="str">
        <f aca="false">IF(C318="","",ROW()-7)</f>
        <v/>
      </c>
      <c r="B318" s="79"/>
      <c r="C318" s="76"/>
      <c r="D318" s="80"/>
      <c r="E318" s="78"/>
      <c r="F318" s="75"/>
      <c r="G318" s="75"/>
      <c r="H318" s="76"/>
      <c r="I318" s="50" t="str">
        <f aca="false">IF(AND(C318="",B318="",D318=""),"",IF(C318="","⚠ Pick supplier",IF(ISNA(MATCH(C318,Suppliers!$B$7:$B$106,0)),"⚠ Supplier not in list",IF(B318="","⚠ Enter date",IF(N(D318)&lt;=0,"⚠ Enter amount",IF(AND(F318&lt;&gt;"",NOT(COUNTIFS(Bills!$D$8:$D$507,C318,Bills!$C$8:$C$507,F318)&gt;0)),"⚠ Bill not found – treated as on account",IF(F318="","✔ On account","✔")))))))</f>
        <v/>
      </c>
      <c r="J318" s="9" t="n">
        <f aca="false">IF(C318="",0,IF(F318="",N(D318),IF(COUNTIFS(Bills!$D$8:$D$507,C318,Bills!$C$8:$C$507,F318)&gt;0,0,N(D318))))</f>
        <v>0</v>
      </c>
    </row>
    <row r="319" customFormat="false" ht="15" hidden="false" customHeight="false" outlineLevel="0" collapsed="false">
      <c r="A319" s="40" t="str">
        <f aca="false">IF(C319="","",ROW()-7)</f>
        <v/>
      </c>
      <c r="B319" s="79"/>
      <c r="C319" s="76"/>
      <c r="D319" s="80"/>
      <c r="E319" s="78"/>
      <c r="F319" s="75"/>
      <c r="G319" s="75"/>
      <c r="H319" s="76"/>
      <c r="I319" s="50" t="str">
        <f aca="false">IF(AND(C319="",B319="",D319=""),"",IF(C319="","⚠ Pick supplier",IF(ISNA(MATCH(C319,Suppliers!$B$7:$B$106,0)),"⚠ Supplier not in list",IF(B319="","⚠ Enter date",IF(N(D319)&lt;=0,"⚠ Enter amount",IF(AND(F319&lt;&gt;"",NOT(COUNTIFS(Bills!$D$8:$D$507,C319,Bills!$C$8:$C$507,F319)&gt;0)),"⚠ Bill not found – treated as on account",IF(F319="","✔ On account","✔")))))))</f>
        <v/>
      </c>
      <c r="J319" s="9" t="n">
        <f aca="false">IF(C319="",0,IF(F319="",N(D319),IF(COUNTIFS(Bills!$D$8:$D$507,C319,Bills!$C$8:$C$507,F319)&gt;0,0,N(D319))))</f>
        <v>0</v>
      </c>
    </row>
    <row r="320" customFormat="false" ht="15" hidden="false" customHeight="false" outlineLevel="0" collapsed="false">
      <c r="A320" s="40" t="str">
        <f aca="false">IF(C320="","",ROW()-7)</f>
        <v/>
      </c>
      <c r="B320" s="79"/>
      <c r="C320" s="76"/>
      <c r="D320" s="80"/>
      <c r="E320" s="78"/>
      <c r="F320" s="75"/>
      <c r="G320" s="75"/>
      <c r="H320" s="76"/>
      <c r="I320" s="50" t="str">
        <f aca="false">IF(AND(C320="",B320="",D320=""),"",IF(C320="","⚠ Pick supplier",IF(ISNA(MATCH(C320,Suppliers!$B$7:$B$106,0)),"⚠ Supplier not in list",IF(B320="","⚠ Enter date",IF(N(D320)&lt;=0,"⚠ Enter amount",IF(AND(F320&lt;&gt;"",NOT(COUNTIFS(Bills!$D$8:$D$507,C320,Bills!$C$8:$C$507,F320)&gt;0)),"⚠ Bill not found – treated as on account",IF(F320="","✔ On account","✔")))))))</f>
        <v/>
      </c>
      <c r="J320" s="9" t="n">
        <f aca="false">IF(C320="",0,IF(F320="",N(D320),IF(COUNTIFS(Bills!$D$8:$D$507,C320,Bills!$C$8:$C$507,F320)&gt;0,0,N(D320))))</f>
        <v>0</v>
      </c>
    </row>
    <row r="321" customFormat="false" ht="15" hidden="false" customHeight="false" outlineLevel="0" collapsed="false">
      <c r="A321" s="40" t="str">
        <f aca="false">IF(C321="","",ROW()-7)</f>
        <v/>
      </c>
      <c r="B321" s="79"/>
      <c r="C321" s="76"/>
      <c r="D321" s="80"/>
      <c r="E321" s="78"/>
      <c r="F321" s="75"/>
      <c r="G321" s="75"/>
      <c r="H321" s="76"/>
      <c r="I321" s="50" t="str">
        <f aca="false">IF(AND(C321="",B321="",D321=""),"",IF(C321="","⚠ Pick supplier",IF(ISNA(MATCH(C321,Suppliers!$B$7:$B$106,0)),"⚠ Supplier not in list",IF(B321="","⚠ Enter date",IF(N(D321)&lt;=0,"⚠ Enter amount",IF(AND(F321&lt;&gt;"",NOT(COUNTIFS(Bills!$D$8:$D$507,C321,Bills!$C$8:$C$507,F321)&gt;0)),"⚠ Bill not found – treated as on account",IF(F321="","✔ On account","✔")))))))</f>
        <v/>
      </c>
      <c r="J321" s="9" t="n">
        <f aca="false">IF(C321="",0,IF(F321="",N(D321),IF(COUNTIFS(Bills!$D$8:$D$507,C321,Bills!$C$8:$C$507,F321)&gt;0,0,N(D321))))</f>
        <v>0</v>
      </c>
    </row>
    <row r="322" customFormat="false" ht="15" hidden="false" customHeight="false" outlineLevel="0" collapsed="false">
      <c r="A322" s="40" t="str">
        <f aca="false">IF(C322="","",ROW()-7)</f>
        <v/>
      </c>
      <c r="B322" s="79"/>
      <c r="C322" s="76"/>
      <c r="D322" s="80"/>
      <c r="E322" s="78"/>
      <c r="F322" s="75"/>
      <c r="G322" s="75"/>
      <c r="H322" s="76"/>
      <c r="I322" s="50" t="str">
        <f aca="false">IF(AND(C322="",B322="",D322=""),"",IF(C322="","⚠ Pick supplier",IF(ISNA(MATCH(C322,Suppliers!$B$7:$B$106,0)),"⚠ Supplier not in list",IF(B322="","⚠ Enter date",IF(N(D322)&lt;=0,"⚠ Enter amount",IF(AND(F322&lt;&gt;"",NOT(COUNTIFS(Bills!$D$8:$D$507,C322,Bills!$C$8:$C$507,F322)&gt;0)),"⚠ Bill not found – treated as on account",IF(F322="","✔ On account","✔")))))))</f>
        <v/>
      </c>
      <c r="J322" s="9" t="n">
        <f aca="false">IF(C322="",0,IF(F322="",N(D322),IF(COUNTIFS(Bills!$D$8:$D$507,C322,Bills!$C$8:$C$507,F322)&gt;0,0,N(D322))))</f>
        <v>0</v>
      </c>
    </row>
    <row r="323" customFormat="false" ht="15" hidden="false" customHeight="false" outlineLevel="0" collapsed="false">
      <c r="A323" s="40" t="str">
        <f aca="false">IF(C323="","",ROW()-7)</f>
        <v/>
      </c>
      <c r="B323" s="79"/>
      <c r="C323" s="76"/>
      <c r="D323" s="80"/>
      <c r="E323" s="78"/>
      <c r="F323" s="75"/>
      <c r="G323" s="75"/>
      <c r="H323" s="76"/>
      <c r="I323" s="50" t="str">
        <f aca="false">IF(AND(C323="",B323="",D323=""),"",IF(C323="","⚠ Pick supplier",IF(ISNA(MATCH(C323,Suppliers!$B$7:$B$106,0)),"⚠ Supplier not in list",IF(B323="","⚠ Enter date",IF(N(D323)&lt;=0,"⚠ Enter amount",IF(AND(F323&lt;&gt;"",NOT(COUNTIFS(Bills!$D$8:$D$507,C323,Bills!$C$8:$C$507,F323)&gt;0)),"⚠ Bill not found – treated as on account",IF(F323="","✔ On account","✔")))))))</f>
        <v/>
      </c>
      <c r="J323" s="9" t="n">
        <f aca="false">IF(C323="",0,IF(F323="",N(D323),IF(COUNTIFS(Bills!$D$8:$D$507,C323,Bills!$C$8:$C$507,F323)&gt;0,0,N(D323))))</f>
        <v>0</v>
      </c>
    </row>
    <row r="324" customFormat="false" ht="15" hidden="false" customHeight="false" outlineLevel="0" collapsed="false">
      <c r="A324" s="40" t="str">
        <f aca="false">IF(C324="","",ROW()-7)</f>
        <v/>
      </c>
      <c r="B324" s="79"/>
      <c r="C324" s="76"/>
      <c r="D324" s="80"/>
      <c r="E324" s="78"/>
      <c r="F324" s="75"/>
      <c r="G324" s="75"/>
      <c r="H324" s="76"/>
      <c r="I324" s="50" t="str">
        <f aca="false">IF(AND(C324="",B324="",D324=""),"",IF(C324="","⚠ Pick supplier",IF(ISNA(MATCH(C324,Suppliers!$B$7:$B$106,0)),"⚠ Supplier not in list",IF(B324="","⚠ Enter date",IF(N(D324)&lt;=0,"⚠ Enter amount",IF(AND(F324&lt;&gt;"",NOT(COUNTIFS(Bills!$D$8:$D$507,C324,Bills!$C$8:$C$507,F324)&gt;0)),"⚠ Bill not found – treated as on account",IF(F324="","✔ On account","✔")))))))</f>
        <v/>
      </c>
      <c r="J324" s="9" t="n">
        <f aca="false">IF(C324="",0,IF(F324="",N(D324),IF(COUNTIFS(Bills!$D$8:$D$507,C324,Bills!$C$8:$C$507,F324)&gt;0,0,N(D324))))</f>
        <v>0</v>
      </c>
    </row>
    <row r="325" customFormat="false" ht="15" hidden="false" customHeight="false" outlineLevel="0" collapsed="false">
      <c r="A325" s="40" t="str">
        <f aca="false">IF(C325="","",ROW()-7)</f>
        <v/>
      </c>
      <c r="B325" s="79"/>
      <c r="C325" s="76"/>
      <c r="D325" s="80"/>
      <c r="E325" s="78"/>
      <c r="F325" s="75"/>
      <c r="G325" s="75"/>
      <c r="H325" s="76"/>
      <c r="I325" s="50" t="str">
        <f aca="false">IF(AND(C325="",B325="",D325=""),"",IF(C325="","⚠ Pick supplier",IF(ISNA(MATCH(C325,Suppliers!$B$7:$B$106,0)),"⚠ Supplier not in list",IF(B325="","⚠ Enter date",IF(N(D325)&lt;=0,"⚠ Enter amount",IF(AND(F325&lt;&gt;"",NOT(COUNTIFS(Bills!$D$8:$D$507,C325,Bills!$C$8:$C$507,F325)&gt;0)),"⚠ Bill not found – treated as on account",IF(F325="","✔ On account","✔")))))))</f>
        <v/>
      </c>
      <c r="J325" s="9" t="n">
        <f aca="false">IF(C325="",0,IF(F325="",N(D325),IF(COUNTIFS(Bills!$D$8:$D$507,C325,Bills!$C$8:$C$507,F325)&gt;0,0,N(D325))))</f>
        <v>0</v>
      </c>
    </row>
    <row r="326" customFormat="false" ht="15" hidden="false" customHeight="false" outlineLevel="0" collapsed="false">
      <c r="A326" s="40" t="str">
        <f aca="false">IF(C326="","",ROW()-7)</f>
        <v/>
      </c>
      <c r="B326" s="79"/>
      <c r="C326" s="76"/>
      <c r="D326" s="80"/>
      <c r="E326" s="78"/>
      <c r="F326" s="75"/>
      <c r="G326" s="75"/>
      <c r="H326" s="76"/>
      <c r="I326" s="50" t="str">
        <f aca="false">IF(AND(C326="",B326="",D326=""),"",IF(C326="","⚠ Pick supplier",IF(ISNA(MATCH(C326,Suppliers!$B$7:$B$106,0)),"⚠ Supplier not in list",IF(B326="","⚠ Enter date",IF(N(D326)&lt;=0,"⚠ Enter amount",IF(AND(F326&lt;&gt;"",NOT(COUNTIFS(Bills!$D$8:$D$507,C326,Bills!$C$8:$C$507,F326)&gt;0)),"⚠ Bill not found – treated as on account",IF(F326="","✔ On account","✔")))))))</f>
        <v/>
      </c>
      <c r="J326" s="9" t="n">
        <f aca="false">IF(C326="",0,IF(F326="",N(D326),IF(COUNTIFS(Bills!$D$8:$D$507,C326,Bills!$C$8:$C$507,F326)&gt;0,0,N(D326))))</f>
        <v>0</v>
      </c>
    </row>
    <row r="327" customFormat="false" ht="15" hidden="false" customHeight="false" outlineLevel="0" collapsed="false">
      <c r="A327" s="40" t="str">
        <f aca="false">IF(C327="","",ROW()-7)</f>
        <v/>
      </c>
      <c r="B327" s="79"/>
      <c r="C327" s="76"/>
      <c r="D327" s="80"/>
      <c r="E327" s="78"/>
      <c r="F327" s="75"/>
      <c r="G327" s="75"/>
      <c r="H327" s="76"/>
      <c r="I327" s="50" t="str">
        <f aca="false">IF(AND(C327="",B327="",D327=""),"",IF(C327="","⚠ Pick supplier",IF(ISNA(MATCH(C327,Suppliers!$B$7:$B$106,0)),"⚠ Supplier not in list",IF(B327="","⚠ Enter date",IF(N(D327)&lt;=0,"⚠ Enter amount",IF(AND(F327&lt;&gt;"",NOT(COUNTIFS(Bills!$D$8:$D$507,C327,Bills!$C$8:$C$507,F327)&gt;0)),"⚠ Bill not found – treated as on account",IF(F327="","✔ On account","✔")))))))</f>
        <v/>
      </c>
      <c r="J327" s="9" t="n">
        <f aca="false">IF(C327="",0,IF(F327="",N(D327),IF(COUNTIFS(Bills!$D$8:$D$507,C327,Bills!$C$8:$C$507,F327)&gt;0,0,N(D327))))</f>
        <v>0</v>
      </c>
    </row>
    <row r="328" customFormat="false" ht="15" hidden="false" customHeight="false" outlineLevel="0" collapsed="false">
      <c r="A328" s="40" t="str">
        <f aca="false">IF(C328="","",ROW()-7)</f>
        <v/>
      </c>
      <c r="B328" s="79"/>
      <c r="C328" s="76"/>
      <c r="D328" s="80"/>
      <c r="E328" s="78"/>
      <c r="F328" s="75"/>
      <c r="G328" s="75"/>
      <c r="H328" s="76"/>
      <c r="I328" s="50" t="str">
        <f aca="false">IF(AND(C328="",B328="",D328=""),"",IF(C328="","⚠ Pick supplier",IF(ISNA(MATCH(C328,Suppliers!$B$7:$B$106,0)),"⚠ Supplier not in list",IF(B328="","⚠ Enter date",IF(N(D328)&lt;=0,"⚠ Enter amount",IF(AND(F328&lt;&gt;"",NOT(COUNTIFS(Bills!$D$8:$D$507,C328,Bills!$C$8:$C$507,F328)&gt;0)),"⚠ Bill not found – treated as on account",IF(F328="","✔ On account","✔")))))))</f>
        <v/>
      </c>
      <c r="J328" s="9" t="n">
        <f aca="false">IF(C328="",0,IF(F328="",N(D328),IF(COUNTIFS(Bills!$D$8:$D$507,C328,Bills!$C$8:$C$507,F328)&gt;0,0,N(D328))))</f>
        <v>0</v>
      </c>
    </row>
    <row r="329" customFormat="false" ht="15" hidden="false" customHeight="false" outlineLevel="0" collapsed="false">
      <c r="A329" s="40" t="str">
        <f aca="false">IF(C329="","",ROW()-7)</f>
        <v/>
      </c>
      <c r="B329" s="79"/>
      <c r="C329" s="76"/>
      <c r="D329" s="80"/>
      <c r="E329" s="78"/>
      <c r="F329" s="75"/>
      <c r="G329" s="75"/>
      <c r="H329" s="76"/>
      <c r="I329" s="50" t="str">
        <f aca="false">IF(AND(C329="",B329="",D329=""),"",IF(C329="","⚠ Pick supplier",IF(ISNA(MATCH(C329,Suppliers!$B$7:$B$106,0)),"⚠ Supplier not in list",IF(B329="","⚠ Enter date",IF(N(D329)&lt;=0,"⚠ Enter amount",IF(AND(F329&lt;&gt;"",NOT(COUNTIFS(Bills!$D$8:$D$507,C329,Bills!$C$8:$C$507,F329)&gt;0)),"⚠ Bill not found – treated as on account",IF(F329="","✔ On account","✔")))))))</f>
        <v/>
      </c>
      <c r="J329" s="9" t="n">
        <f aca="false">IF(C329="",0,IF(F329="",N(D329),IF(COUNTIFS(Bills!$D$8:$D$507,C329,Bills!$C$8:$C$507,F329)&gt;0,0,N(D329))))</f>
        <v>0</v>
      </c>
    </row>
    <row r="330" customFormat="false" ht="15" hidden="false" customHeight="false" outlineLevel="0" collapsed="false">
      <c r="A330" s="40" t="str">
        <f aca="false">IF(C330="","",ROW()-7)</f>
        <v/>
      </c>
      <c r="B330" s="79"/>
      <c r="C330" s="76"/>
      <c r="D330" s="80"/>
      <c r="E330" s="78"/>
      <c r="F330" s="75"/>
      <c r="G330" s="75"/>
      <c r="H330" s="76"/>
      <c r="I330" s="50" t="str">
        <f aca="false">IF(AND(C330="",B330="",D330=""),"",IF(C330="","⚠ Pick supplier",IF(ISNA(MATCH(C330,Suppliers!$B$7:$B$106,0)),"⚠ Supplier not in list",IF(B330="","⚠ Enter date",IF(N(D330)&lt;=0,"⚠ Enter amount",IF(AND(F330&lt;&gt;"",NOT(COUNTIFS(Bills!$D$8:$D$507,C330,Bills!$C$8:$C$507,F330)&gt;0)),"⚠ Bill not found – treated as on account",IF(F330="","✔ On account","✔")))))))</f>
        <v/>
      </c>
      <c r="J330" s="9" t="n">
        <f aca="false">IF(C330="",0,IF(F330="",N(D330),IF(COUNTIFS(Bills!$D$8:$D$507,C330,Bills!$C$8:$C$507,F330)&gt;0,0,N(D330))))</f>
        <v>0</v>
      </c>
    </row>
    <row r="331" customFormat="false" ht="15" hidden="false" customHeight="false" outlineLevel="0" collapsed="false">
      <c r="A331" s="40" t="str">
        <f aca="false">IF(C331="","",ROW()-7)</f>
        <v/>
      </c>
      <c r="B331" s="79"/>
      <c r="C331" s="76"/>
      <c r="D331" s="80"/>
      <c r="E331" s="78"/>
      <c r="F331" s="75"/>
      <c r="G331" s="75"/>
      <c r="H331" s="76"/>
      <c r="I331" s="50" t="str">
        <f aca="false">IF(AND(C331="",B331="",D331=""),"",IF(C331="","⚠ Pick supplier",IF(ISNA(MATCH(C331,Suppliers!$B$7:$B$106,0)),"⚠ Supplier not in list",IF(B331="","⚠ Enter date",IF(N(D331)&lt;=0,"⚠ Enter amount",IF(AND(F331&lt;&gt;"",NOT(COUNTIFS(Bills!$D$8:$D$507,C331,Bills!$C$8:$C$507,F331)&gt;0)),"⚠ Bill not found – treated as on account",IF(F331="","✔ On account","✔")))))))</f>
        <v/>
      </c>
      <c r="J331" s="9" t="n">
        <f aca="false">IF(C331="",0,IF(F331="",N(D331),IF(COUNTIFS(Bills!$D$8:$D$507,C331,Bills!$C$8:$C$507,F331)&gt;0,0,N(D331))))</f>
        <v>0</v>
      </c>
    </row>
    <row r="332" customFormat="false" ht="15" hidden="false" customHeight="false" outlineLevel="0" collapsed="false">
      <c r="A332" s="40" t="str">
        <f aca="false">IF(C332="","",ROW()-7)</f>
        <v/>
      </c>
      <c r="B332" s="79"/>
      <c r="C332" s="76"/>
      <c r="D332" s="80"/>
      <c r="E332" s="78"/>
      <c r="F332" s="75"/>
      <c r="G332" s="75"/>
      <c r="H332" s="76"/>
      <c r="I332" s="50" t="str">
        <f aca="false">IF(AND(C332="",B332="",D332=""),"",IF(C332="","⚠ Pick supplier",IF(ISNA(MATCH(C332,Suppliers!$B$7:$B$106,0)),"⚠ Supplier not in list",IF(B332="","⚠ Enter date",IF(N(D332)&lt;=0,"⚠ Enter amount",IF(AND(F332&lt;&gt;"",NOT(COUNTIFS(Bills!$D$8:$D$507,C332,Bills!$C$8:$C$507,F332)&gt;0)),"⚠ Bill not found – treated as on account",IF(F332="","✔ On account","✔")))))))</f>
        <v/>
      </c>
      <c r="J332" s="9" t="n">
        <f aca="false">IF(C332="",0,IF(F332="",N(D332),IF(COUNTIFS(Bills!$D$8:$D$507,C332,Bills!$C$8:$C$507,F332)&gt;0,0,N(D332))))</f>
        <v>0</v>
      </c>
    </row>
    <row r="333" customFormat="false" ht="15" hidden="false" customHeight="false" outlineLevel="0" collapsed="false">
      <c r="A333" s="40" t="str">
        <f aca="false">IF(C333="","",ROW()-7)</f>
        <v/>
      </c>
      <c r="B333" s="79"/>
      <c r="C333" s="76"/>
      <c r="D333" s="80"/>
      <c r="E333" s="78"/>
      <c r="F333" s="75"/>
      <c r="G333" s="75"/>
      <c r="H333" s="76"/>
      <c r="I333" s="50" t="str">
        <f aca="false">IF(AND(C333="",B333="",D333=""),"",IF(C333="","⚠ Pick supplier",IF(ISNA(MATCH(C333,Suppliers!$B$7:$B$106,0)),"⚠ Supplier not in list",IF(B333="","⚠ Enter date",IF(N(D333)&lt;=0,"⚠ Enter amount",IF(AND(F333&lt;&gt;"",NOT(COUNTIFS(Bills!$D$8:$D$507,C333,Bills!$C$8:$C$507,F333)&gt;0)),"⚠ Bill not found – treated as on account",IF(F333="","✔ On account","✔")))))))</f>
        <v/>
      </c>
      <c r="J333" s="9" t="n">
        <f aca="false">IF(C333="",0,IF(F333="",N(D333),IF(COUNTIFS(Bills!$D$8:$D$507,C333,Bills!$C$8:$C$507,F333)&gt;0,0,N(D333))))</f>
        <v>0</v>
      </c>
    </row>
    <row r="334" customFormat="false" ht="15" hidden="false" customHeight="false" outlineLevel="0" collapsed="false">
      <c r="A334" s="40" t="str">
        <f aca="false">IF(C334="","",ROW()-7)</f>
        <v/>
      </c>
      <c r="B334" s="79"/>
      <c r="C334" s="76"/>
      <c r="D334" s="80"/>
      <c r="E334" s="78"/>
      <c r="F334" s="75"/>
      <c r="G334" s="75"/>
      <c r="H334" s="76"/>
      <c r="I334" s="50" t="str">
        <f aca="false">IF(AND(C334="",B334="",D334=""),"",IF(C334="","⚠ Pick supplier",IF(ISNA(MATCH(C334,Suppliers!$B$7:$B$106,0)),"⚠ Supplier not in list",IF(B334="","⚠ Enter date",IF(N(D334)&lt;=0,"⚠ Enter amount",IF(AND(F334&lt;&gt;"",NOT(COUNTIFS(Bills!$D$8:$D$507,C334,Bills!$C$8:$C$507,F334)&gt;0)),"⚠ Bill not found – treated as on account",IF(F334="","✔ On account","✔")))))))</f>
        <v/>
      </c>
      <c r="J334" s="9" t="n">
        <f aca="false">IF(C334="",0,IF(F334="",N(D334),IF(COUNTIFS(Bills!$D$8:$D$507,C334,Bills!$C$8:$C$507,F334)&gt;0,0,N(D334))))</f>
        <v>0</v>
      </c>
    </row>
    <row r="335" customFormat="false" ht="15" hidden="false" customHeight="false" outlineLevel="0" collapsed="false">
      <c r="A335" s="40" t="str">
        <f aca="false">IF(C335="","",ROW()-7)</f>
        <v/>
      </c>
      <c r="B335" s="79"/>
      <c r="C335" s="76"/>
      <c r="D335" s="80"/>
      <c r="E335" s="78"/>
      <c r="F335" s="75"/>
      <c r="G335" s="75"/>
      <c r="H335" s="76"/>
      <c r="I335" s="50" t="str">
        <f aca="false">IF(AND(C335="",B335="",D335=""),"",IF(C335="","⚠ Pick supplier",IF(ISNA(MATCH(C335,Suppliers!$B$7:$B$106,0)),"⚠ Supplier not in list",IF(B335="","⚠ Enter date",IF(N(D335)&lt;=0,"⚠ Enter amount",IF(AND(F335&lt;&gt;"",NOT(COUNTIFS(Bills!$D$8:$D$507,C335,Bills!$C$8:$C$507,F335)&gt;0)),"⚠ Bill not found – treated as on account",IF(F335="","✔ On account","✔")))))))</f>
        <v/>
      </c>
      <c r="J335" s="9" t="n">
        <f aca="false">IF(C335="",0,IF(F335="",N(D335),IF(COUNTIFS(Bills!$D$8:$D$507,C335,Bills!$C$8:$C$507,F335)&gt;0,0,N(D335))))</f>
        <v>0</v>
      </c>
    </row>
    <row r="336" customFormat="false" ht="15" hidden="false" customHeight="false" outlineLevel="0" collapsed="false">
      <c r="A336" s="40" t="str">
        <f aca="false">IF(C336="","",ROW()-7)</f>
        <v/>
      </c>
      <c r="B336" s="79"/>
      <c r="C336" s="76"/>
      <c r="D336" s="80"/>
      <c r="E336" s="78"/>
      <c r="F336" s="75"/>
      <c r="G336" s="75"/>
      <c r="H336" s="76"/>
      <c r="I336" s="50" t="str">
        <f aca="false">IF(AND(C336="",B336="",D336=""),"",IF(C336="","⚠ Pick supplier",IF(ISNA(MATCH(C336,Suppliers!$B$7:$B$106,0)),"⚠ Supplier not in list",IF(B336="","⚠ Enter date",IF(N(D336)&lt;=0,"⚠ Enter amount",IF(AND(F336&lt;&gt;"",NOT(COUNTIFS(Bills!$D$8:$D$507,C336,Bills!$C$8:$C$507,F336)&gt;0)),"⚠ Bill not found – treated as on account",IF(F336="","✔ On account","✔")))))))</f>
        <v/>
      </c>
      <c r="J336" s="9" t="n">
        <f aca="false">IF(C336="",0,IF(F336="",N(D336),IF(COUNTIFS(Bills!$D$8:$D$507,C336,Bills!$C$8:$C$507,F336)&gt;0,0,N(D336))))</f>
        <v>0</v>
      </c>
    </row>
    <row r="337" customFormat="false" ht="15" hidden="false" customHeight="false" outlineLevel="0" collapsed="false">
      <c r="A337" s="40" t="str">
        <f aca="false">IF(C337="","",ROW()-7)</f>
        <v/>
      </c>
      <c r="B337" s="79"/>
      <c r="C337" s="76"/>
      <c r="D337" s="80"/>
      <c r="E337" s="78"/>
      <c r="F337" s="75"/>
      <c r="G337" s="75"/>
      <c r="H337" s="76"/>
      <c r="I337" s="50" t="str">
        <f aca="false">IF(AND(C337="",B337="",D337=""),"",IF(C337="","⚠ Pick supplier",IF(ISNA(MATCH(C337,Suppliers!$B$7:$B$106,0)),"⚠ Supplier not in list",IF(B337="","⚠ Enter date",IF(N(D337)&lt;=0,"⚠ Enter amount",IF(AND(F337&lt;&gt;"",NOT(COUNTIFS(Bills!$D$8:$D$507,C337,Bills!$C$8:$C$507,F337)&gt;0)),"⚠ Bill not found – treated as on account",IF(F337="","✔ On account","✔")))))))</f>
        <v/>
      </c>
      <c r="J337" s="9" t="n">
        <f aca="false">IF(C337="",0,IF(F337="",N(D337),IF(COUNTIFS(Bills!$D$8:$D$507,C337,Bills!$C$8:$C$507,F337)&gt;0,0,N(D337))))</f>
        <v>0</v>
      </c>
    </row>
    <row r="338" customFormat="false" ht="15" hidden="false" customHeight="false" outlineLevel="0" collapsed="false">
      <c r="A338" s="40" t="str">
        <f aca="false">IF(C338="","",ROW()-7)</f>
        <v/>
      </c>
      <c r="B338" s="79"/>
      <c r="C338" s="76"/>
      <c r="D338" s="80"/>
      <c r="E338" s="78"/>
      <c r="F338" s="75"/>
      <c r="G338" s="75"/>
      <c r="H338" s="76"/>
      <c r="I338" s="50" t="str">
        <f aca="false">IF(AND(C338="",B338="",D338=""),"",IF(C338="","⚠ Pick supplier",IF(ISNA(MATCH(C338,Suppliers!$B$7:$B$106,0)),"⚠ Supplier not in list",IF(B338="","⚠ Enter date",IF(N(D338)&lt;=0,"⚠ Enter amount",IF(AND(F338&lt;&gt;"",NOT(COUNTIFS(Bills!$D$8:$D$507,C338,Bills!$C$8:$C$507,F338)&gt;0)),"⚠ Bill not found – treated as on account",IF(F338="","✔ On account","✔")))))))</f>
        <v/>
      </c>
      <c r="J338" s="9" t="n">
        <f aca="false">IF(C338="",0,IF(F338="",N(D338),IF(COUNTIFS(Bills!$D$8:$D$507,C338,Bills!$C$8:$C$507,F338)&gt;0,0,N(D338))))</f>
        <v>0</v>
      </c>
    </row>
    <row r="339" customFormat="false" ht="15" hidden="false" customHeight="false" outlineLevel="0" collapsed="false">
      <c r="A339" s="40" t="str">
        <f aca="false">IF(C339="","",ROW()-7)</f>
        <v/>
      </c>
      <c r="B339" s="79"/>
      <c r="C339" s="76"/>
      <c r="D339" s="80"/>
      <c r="E339" s="78"/>
      <c r="F339" s="75"/>
      <c r="G339" s="75"/>
      <c r="H339" s="76"/>
      <c r="I339" s="50" t="str">
        <f aca="false">IF(AND(C339="",B339="",D339=""),"",IF(C339="","⚠ Pick supplier",IF(ISNA(MATCH(C339,Suppliers!$B$7:$B$106,0)),"⚠ Supplier not in list",IF(B339="","⚠ Enter date",IF(N(D339)&lt;=0,"⚠ Enter amount",IF(AND(F339&lt;&gt;"",NOT(COUNTIFS(Bills!$D$8:$D$507,C339,Bills!$C$8:$C$507,F339)&gt;0)),"⚠ Bill not found – treated as on account",IF(F339="","✔ On account","✔")))))))</f>
        <v/>
      </c>
      <c r="J339" s="9" t="n">
        <f aca="false">IF(C339="",0,IF(F339="",N(D339),IF(COUNTIFS(Bills!$D$8:$D$507,C339,Bills!$C$8:$C$507,F339)&gt;0,0,N(D339))))</f>
        <v>0</v>
      </c>
    </row>
    <row r="340" customFormat="false" ht="15" hidden="false" customHeight="false" outlineLevel="0" collapsed="false">
      <c r="A340" s="40" t="str">
        <f aca="false">IF(C340="","",ROW()-7)</f>
        <v/>
      </c>
      <c r="B340" s="79"/>
      <c r="C340" s="76"/>
      <c r="D340" s="80"/>
      <c r="E340" s="78"/>
      <c r="F340" s="75"/>
      <c r="G340" s="75"/>
      <c r="H340" s="76"/>
      <c r="I340" s="50" t="str">
        <f aca="false">IF(AND(C340="",B340="",D340=""),"",IF(C340="","⚠ Pick supplier",IF(ISNA(MATCH(C340,Suppliers!$B$7:$B$106,0)),"⚠ Supplier not in list",IF(B340="","⚠ Enter date",IF(N(D340)&lt;=0,"⚠ Enter amount",IF(AND(F340&lt;&gt;"",NOT(COUNTIFS(Bills!$D$8:$D$507,C340,Bills!$C$8:$C$507,F340)&gt;0)),"⚠ Bill not found – treated as on account",IF(F340="","✔ On account","✔")))))))</f>
        <v/>
      </c>
      <c r="J340" s="9" t="n">
        <f aca="false">IF(C340="",0,IF(F340="",N(D340),IF(COUNTIFS(Bills!$D$8:$D$507,C340,Bills!$C$8:$C$507,F340)&gt;0,0,N(D340))))</f>
        <v>0</v>
      </c>
    </row>
    <row r="341" customFormat="false" ht="15" hidden="false" customHeight="false" outlineLevel="0" collapsed="false">
      <c r="A341" s="40" t="str">
        <f aca="false">IF(C341="","",ROW()-7)</f>
        <v/>
      </c>
      <c r="B341" s="79"/>
      <c r="C341" s="76"/>
      <c r="D341" s="80"/>
      <c r="E341" s="78"/>
      <c r="F341" s="75"/>
      <c r="G341" s="75"/>
      <c r="H341" s="76"/>
      <c r="I341" s="50" t="str">
        <f aca="false">IF(AND(C341="",B341="",D341=""),"",IF(C341="","⚠ Pick supplier",IF(ISNA(MATCH(C341,Suppliers!$B$7:$B$106,0)),"⚠ Supplier not in list",IF(B341="","⚠ Enter date",IF(N(D341)&lt;=0,"⚠ Enter amount",IF(AND(F341&lt;&gt;"",NOT(COUNTIFS(Bills!$D$8:$D$507,C341,Bills!$C$8:$C$507,F341)&gt;0)),"⚠ Bill not found – treated as on account",IF(F341="","✔ On account","✔")))))))</f>
        <v/>
      </c>
      <c r="J341" s="9" t="n">
        <f aca="false">IF(C341="",0,IF(F341="",N(D341),IF(COUNTIFS(Bills!$D$8:$D$507,C341,Bills!$C$8:$C$507,F341)&gt;0,0,N(D341))))</f>
        <v>0</v>
      </c>
    </row>
    <row r="342" customFormat="false" ht="15" hidden="false" customHeight="false" outlineLevel="0" collapsed="false">
      <c r="A342" s="40" t="str">
        <f aca="false">IF(C342="","",ROW()-7)</f>
        <v/>
      </c>
      <c r="B342" s="79"/>
      <c r="C342" s="76"/>
      <c r="D342" s="80"/>
      <c r="E342" s="78"/>
      <c r="F342" s="75"/>
      <c r="G342" s="75"/>
      <c r="H342" s="76"/>
      <c r="I342" s="50" t="str">
        <f aca="false">IF(AND(C342="",B342="",D342=""),"",IF(C342="","⚠ Pick supplier",IF(ISNA(MATCH(C342,Suppliers!$B$7:$B$106,0)),"⚠ Supplier not in list",IF(B342="","⚠ Enter date",IF(N(D342)&lt;=0,"⚠ Enter amount",IF(AND(F342&lt;&gt;"",NOT(COUNTIFS(Bills!$D$8:$D$507,C342,Bills!$C$8:$C$507,F342)&gt;0)),"⚠ Bill not found – treated as on account",IF(F342="","✔ On account","✔")))))))</f>
        <v/>
      </c>
      <c r="J342" s="9" t="n">
        <f aca="false">IF(C342="",0,IF(F342="",N(D342),IF(COUNTIFS(Bills!$D$8:$D$507,C342,Bills!$C$8:$C$507,F342)&gt;0,0,N(D342))))</f>
        <v>0</v>
      </c>
    </row>
    <row r="343" customFormat="false" ht="15" hidden="false" customHeight="false" outlineLevel="0" collapsed="false">
      <c r="A343" s="40" t="str">
        <f aca="false">IF(C343="","",ROW()-7)</f>
        <v/>
      </c>
      <c r="B343" s="79"/>
      <c r="C343" s="76"/>
      <c r="D343" s="80"/>
      <c r="E343" s="78"/>
      <c r="F343" s="75"/>
      <c r="G343" s="75"/>
      <c r="H343" s="76"/>
      <c r="I343" s="50" t="str">
        <f aca="false">IF(AND(C343="",B343="",D343=""),"",IF(C343="","⚠ Pick supplier",IF(ISNA(MATCH(C343,Suppliers!$B$7:$B$106,0)),"⚠ Supplier not in list",IF(B343="","⚠ Enter date",IF(N(D343)&lt;=0,"⚠ Enter amount",IF(AND(F343&lt;&gt;"",NOT(COUNTIFS(Bills!$D$8:$D$507,C343,Bills!$C$8:$C$507,F343)&gt;0)),"⚠ Bill not found – treated as on account",IF(F343="","✔ On account","✔")))))))</f>
        <v/>
      </c>
      <c r="J343" s="9" t="n">
        <f aca="false">IF(C343="",0,IF(F343="",N(D343),IF(COUNTIFS(Bills!$D$8:$D$507,C343,Bills!$C$8:$C$507,F343)&gt;0,0,N(D343))))</f>
        <v>0</v>
      </c>
    </row>
    <row r="344" customFormat="false" ht="15" hidden="false" customHeight="false" outlineLevel="0" collapsed="false">
      <c r="A344" s="40" t="str">
        <f aca="false">IF(C344="","",ROW()-7)</f>
        <v/>
      </c>
      <c r="B344" s="79"/>
      <c r="C344" s="76"/>
      <c r="D344" s="80"/>
      <c r="E344" s="78"/>
      <c r="F344" s="75"/>
      <c r="G344" s="75"/>
      <c r="H344" s="76"/>
      <c r="I344" s="50" t="str">
        <f aca="false">IF(AND(C344="",B344="",D344=""),"",IF(C344="","⚠ Pick supplier",IF(ISNA(MATCH(C344,Suppliers!$B$7:$B$106,0)),"⚠ Supplier not in list",IF(B344="","⚠ Enter date",IF(N(D344)&lt;=0,"⚠ Enter amount",IF(AND(F344&lt;&gt;"",NOT(COUNTIFS(Bills!$D$8:$D$507,C344,Bills!$C$8:$C$507,F344)&gt;0)),"⚠ Bill not found – treated as on account",IF(F344="","✔ On account","✔")))))))</f>
        <v/>
      </c>
      <c r="J344" s="9" t="n">
        <f aca="false">IF(C344="",0,IF(F344="",N(D344),IF(COUNTIFS(Bills!$D$8:$D$507,C344,Bills!$C$8:$C$507,F344)&gt;0,0,N(D344))))</f>
        <v>0</v>
      </c>
    </row>
    <row r="345" customFormat="false" ht="15" hidden="false" customHeight="false" outlineLevel="0" collapsed="false">
      <c r="A345" s="40" t="str">
        <f aca="false">IF(C345="","",ROW()-7)</f>
        <v/>
      </c>
      <c r="B345" s="79"/>
      <c r="C345" s="76"/>
      <c r="D345" s="80"/>
      <c r="E345" s="78"/>
      <c r="F345" s="75"/>
      <c r="G345" s="75"/>
      <c r="H345" s="76"/>
      <c r="I345" s="50" t="str">
        <f aca="false">IF(AND(C345="",B345="",D345=""),"",IF(C345="","⚠ Pick supplier",IF(ISNA(MATCH(C345,Suppliers!$B$7:$B$106,0)),"⚠ Supplier not in list",IF(B345="","⚠ Enter date",IF(N(D345)&lt;=0,"⚠ Enter amount",IF(AND(F345&lt;&gt;"",NOT(COUNTIFS(Bills!$D$8:$D$507,C345,Bills!$C$8:$C$507,F345)&gt;0)),"⚠ Bill not found – treated as on account",IF(F345="","✔ On account","✔")))))))</f>
        <v/>
      </c>
      <c r="J345" s="9" t="n">
        <f aca="false">IF(C345="",0,IF(F345="",N(D345),IF(COUNTIFS(Bills!$D$8:$D$507,C345,Bills!$C$8:$C$507,F345)&gt;0,0,N(D345))))</f>
        <v>0</v>
      </c>
    </row>
    <row r="346" customFormat="false" ht="15" hidden="false" customHeight="false" outlineLevel="0" collapsed="false">
      <c r="A346" s="40" t="str">
        <f aca="false">IF(C346="","",ROW()-7)</f>
        <v/>
      </c>
      <c r="B346" s="79"/>
      <c r="C346" s="76"/>
      <c r="D346" s="80"/>
      <c r="E346" s="78"/>
      <c r="F346" s="75"/>
      <c r="G346" s="75"/>
      <c r="H346" s="76"/>
      <c r="I346" s="50" t="str">
        <f aca="false">IF(AND(C346="",B346="",D346=""),"",IF(C346="","⚠ Pick supplier",IF(ISNA(MATCH(C346,Suppliers!$B$7:$B$106,0)),"⚠ Supplier not in list",IF(B346="","⚠ Enter date",IF(N(D346)&lt;=0,"⚠ Enter amount",IF(AND(F346&lt;&gt;"",NOT(COUNTIFS(Bills!$D$8:$D$507,C346,Bills!$C$8:$C$507,F346)&gt;0)),"⚠ Bill not found – treated as on account",IF(F346="","✔ On account","✔")))))))</f>
        <v/>
      </c>
      <c r="J346" s="9" t="n">
        <f aca="false">IF(C346="",0,IF(F346="",N(D346),IF(COUNTIFS(Bills!$D$8:$D$507,C346,Bills!$C$8:$C$507,F346)&gt;0,0,N(D346))))</f>
        <v>0</v>
      </c>
    </row>
    <row r="347" customFormat="false" ht="15" hidden="false" customHeight="false" outlineLevel="0" collapsed="false">
      <c r="A347" s="40" t="str">
        <f aca="false">IF(C347="","",ROW()-7)</f>
        <v/>
      </c>
      <c r="B347" s="79"/>
      <c r="C347" s="76"/>
      <c r="D347" s="80"/>
      <c r="E347" s="78"/>
      <c r="F347" s="75"/>
      <c r="G347" s="75"/>
      <c r="H347" s="76"/>
      <c r="I347" s="50" t="str">
        <f aca="false">IF(AND(C347="",B347="",D347=""),"",IF(C347="","⚠ Pick supplier",IF(ISNA(MATCH(C347,Suppliers!$B$7:$B$106,0)),"⚠ Supplier not in list",IF(B347="","⚠ Enter date",IF(N(D347)&lt;=0,"⚠ Enter amount",IF(AND(F347&lt;&gt;"",NOT(COUNTIFS(Bills!$D$8:$D$507,C347,Bills!$C$8:$C$507,F347)&gt;0)),"⚠ Bill not found – treated as on account",IF(F347="","✔ On account","✔")))))))</f>
        <v/>
      </c>
      <c r="J347" s="9" t="n">
        <f aca="false">IF(C347="",0,IF(F347="",N(D347),IF(COUNTIFS(Bills!$D$8:$D$507,C347,Bills!$C$8:$C$507,F347)&gt;0,0,N(D347))))</f>
        <v>0</v>
      </c>
    </row>
    <row r="348" customFormat="false" ht="15" hidden="false" customHeight="false" outlineLevel="0" collapsed="false">
      <c r="A348" s="40" t="str">
        <f aca="false">IF(C348="","",ROW()-7)</f>
        <v/>
      </c>
      <c r="B348" s="79"/>
      <c r="C348" s="76"/>
      <c r="D348" s="80"/>
      <c r="E348" s="78"/>
      <c r="F348" s="75"/>
      <c r="G348" s="75"/>
      <c r="H348" s="76"/>
      <c r="I348" s="50" t="str">
        <f aca="false">IF(AND(C348="",B348="",D348=""),"",IF(C348="","⚠ Pick supplier",IF(ISNA(MATCH(C348,Suppliers!$B$7:$B$106,0)),"⚠ Supplier not in list",IF(B348="","⚠ Enter date",IF(N(D348)&lt;=0,"⚠ Enter amount",IF(AND(F348&lt;&gt;"",NOT(COUNTIFS(Bills!$D$8:$D$507,C348,Bills!$C$8:$C$507,F348)&gt;0)),"⚠ Bill not found – treated as on account",IF(F348="","✔ On account","✔")))))))</f>
        <v/>
      </c>
      <c r="J348" s="9" t="n">
        <f aca="false">IF(C348="",0,IF(F348="",N(D348),IF(COUNTIFS(Bills!$D$8:$D$507,C348,Bills!$C$8:$C$507,F348)&gt;0,0,N(D348))))</f>
        <v>0</v>
      </c>
    </row>
    <row r="349" customFormat="false" ht="15" hidden="false" customHeight="false" outlineLevel="0" collapsed="false">
      <c r="A349" s="40" t="str">
        <f aca="false">IF(C349="","",ROW()-7)</f>
        <v/>
      </c>
      <c r="B349" s="79"/>
      <c r="C349" s="76"/>
      <c r="D349" s="80"/>
      <c r="E349" s="78"/>
      <c r="F349" s="75"/>
      <c r="G349" s="75"/>
      <c r="H349" s="76"/>
      <c r="I349" s="50" t="str">
        <f aca="false">IF(AND(C349="",B349="",D349=""),"",IF(C349="","⚠ Pick supplier",IF(ISNA(MATCH(C349,Suppliers!$B$7:$B$106,0)),"⚠ Supplier not in list",IF(B349="","⚠ Enter date",IF(N(D349)&lt;=0,"⚠ Enter amount",IF(AND(F349&lt;&gt;"",NOT(COUNTIFS(Bills!$D$8:$D$507,C349,Bills!$C$8:$C$507,F349)&gt;0)),"⚠ Bill not found – treated as on account",IF(F349="","✔ On account","✔")))))))</f>
        <v/>
      </c>
      <c r="J349" s="9" t="n">
        <f aca="false">IF(C349="",0,IF(F349="",N(D349),IF(COUNTIFS(Bills!$D$8:$D$507,C349,Bills!$C$8:$C$507,F349)&gt;0,0,N(D349))))</f>
        <v>0</v>
      </c>
    </row>
    <row r="350" customFormat="false" ht="15" hidden="false" customHeight="false" outlineLevel="0" collapsed="false">
      <c r="A350" s="40" t="str">
        <f aca="false">IF(C350="","",ROW()-7)</f>
        <v/>
      </c>
      <c r="B350" s="79"/>
      <c r="C350" s="76"/>
      <c r="D350" s="80"/>
      <c r="E350" s="78"/>
      <c r="F350" s="75"/>
      <c r="G350" s="75"/>
      <c r="H350" s="76"/>
      <c r="I350" s="50" t="str">
        <f aca="false">IF(AND(C350="",B350="",D350=""),"",IF(C350="","⚠ Pick supplier",IF(ISNA(MATCH(C350,Suppliers!$B$7:$B$106,0)),"⚠ Supplier not in list",IF(B350="","⚠ Enter date",IF(N(D350)&lt;=0,"⚠ Enter amount",IF(AND(F350&lt;&gt;"",NOT(COUNTIFS(Bills!$D$8:$D$507,C350,Bills!$C$8:$C$507,F350)&gt;0)),"⚠ Bill not found – treated as on account",IF(F350="","✔ On account","✔")))))))</f>
        <v/>
      </c>
      <c r="J350" s="9" t="n">
        <f aca="false">IF(C350="",0,IF(F350="",N(D350),IF(COUNTIFS(Bills!$D$8:$D$507,C350,Bills!$C$8:$C$507,F350)&gt;0,0,N(D350))))</f>
        <v>0</v>
      </c>
    </row>
    <row r="351" customFormat="false" ht="15" hidden="false" customHeight="false" outlineLevel="0" collapsed="false">
      <c r="A351" s="40" t="str">
        <f aca="false">IF(C351="","",ROW()-7)</f>
        <v/>
      </c>
      <c r="B351" s="79"/>
      <c r="C351" s="76"/>
      <c r="D351" s="80"/>
      <c r="E351" s="78"/>
      <c r="F351" s="75"/>
      <c r="G351" s="75"/>
      <c r="H351" s="76"/>
      <c r="I351" s="50" t="str">
        <f aca="false">IF(AND(C351="",B351="",D351=""),"",IF(C351="","⚠ Pick supplier",IF(ISNA(MATCH(C351,Suppliers!$B$7:$B$106,0)),"⚠ Supplier not in list",IF(B351="","⚠ Enter date",IF(N(D351)&lt;=0,"⚠ Enter amount",IF(AND(F351&lt;&gt;"",NOT(COUNTIFS(Bills!$D$8:$D$507,C351,Bills!$C$8:$C$507,F351)&gt;0)),"⚠ Bill not found – treated as on account",IF(F351="","✔ On account","✔")))))))</f>
        <v/>
      </c>
      <c r="J351" s="9" t="n">
        <f aca="false">IF(C351="",0,IF(F351="",N(D351),IF(COUNTIFS(Bills!$D$8:$D$507,C351,Bills!$C$8:$C$507,F351)&gt;0,0,N(D351))))</f>
        <v>0</v>
      </c>
    </row>
    <row r="352" customFormat="false" ht="15" hidden="false" customHeight="false" outlineLevel="0" collapsed="false">
      <c r="A352" s="40" t="str">
        <f aca="false">IF(C352="","",ROW()-7)</f>
        <v/>
      </c>
      <c r="B352" s="79"/>
      <c r="C352" s="76"/>
      <c r="D352" s="80"/>
      <c r="E352" s="78"/>
      <c r="F352" s="75"/>
      <c r="G352" s="75"/>
      <c r="H352" s="76"/>
      <c r="I352" s="50" t="str">
        <f aca="false">IF(AND(C352="",B352="",D352=""),"",IF(C352="","⚠ Pick supplier",IF(ISNA(MATCH(C352,Suppliers!$B$7:$B$106,0)),"⚠ Supplier not in list",IF(B352="","⚠ Enter date",IF(N(D352)&lt;=0,"⚠ Enter amount",IF(AND(F352&lt;&gt;"",NOT(COUNTIFS(Bills!$D$8:$D$507,C352,Bills!$C$8:$C$507,F352)&gt;0)),"⚠ Bill not found – treated as on account",IF(F352="","✔ On account","✔")))))))</f>
        <v/>
      </c>
      <c r="J352" s="9" t="n">
        <f aca="false">IF(C352="",0,IF(F352="",N(D352),IF(COUNTIFS(Bills!$D$8:$D$507,C352,Bills!$C$8:$C$507,F352)&gt;0,0,N(D352))))</f>
        <v>0</v>
      </c>
    </row>
    <row r="353" customFormat="false" ht="15" hidden="false" customHeight="false" outlineLevel="0" collapsed="false">
      <c r="A353" s="40" t="str">
        <f aca="false">IF(C353="","",ROW()-7)</f>
        <v/>
      </c>
      <c r="B353" s="79"/>
      <c r="C353" s="76"/>
      <c r="D353" s="80"/>
      <c r="E353" s="78"/>
      <c r="F353" s="75"/>
      <c r="G353" s="75"/>
      <c r="H353" s="76"/>
      <c r="I353" s="50" t="str">
        <f aca="false">IF(AND(C353="",B353="",D353=""),"",IF(C353="","⚠ Pick supplier",IF(ISNA(MATCH(C353,Suppliers!$B$7:$B$106,0)),"⚠ Supplier not in list",IF(B353="","⚠ Enter date",IF(N(D353)&lt;=0,"⚠ Enter amount",IF(AND(F353&lt;&gt;"",NOT(COUNTIFS(Bills!$D$8:$D$507,C353,Bills!$C$8:$C$507,F353)&gt;0)),"⚠ Bill not found – treated as on account",IF(F353="","✔ On account","✔")))))))</f>
        <v/>
      </c>
      <c r="J353" s="9" t="n">
        <f aca="false">IF(C353="",0,IF(F353="",N(D353),IF(COUNTIFS(Bills!$D$8:$D$507,C353,Bills!$C$8:$C$507,F353)&gt;0,0,N(D353))))</f>
        <v>0</v>
      </c>
    </row>
    <row r="354" customFormat="false" ht="15" hidden="false" customHeight="false" outlineLevel="0" collapsed="false">
      <c r="A354" s="40" t="str">
        <f aca="false">IF(C354="","",ROW()-7)</f>
        <v/>
      </c>
      <c r="B354" s="79"/>
      <c r="C354" s="76"/>
      <c r="D354" s="80"/>
      <c r="E354" s="78"/>
      <c r="F354" s="75"/>
      <c r="G354" s="75"/>
      <c r="H354" s="76"/>
      <c r="I354" s="50" t="str">
        <f aca="false">IF(AND(C354="",B354="",D354=""),"",IF(C354="","⚠ Pick supplier",IF(ISNA(MATCH(C354,Suppliers!$B$7:$B$106,0)),"⚠ Supplier not in list",IF(B354="","⚠ Enter date",IF(N(D354)&lt;=0,"⚠ Enter amount",IF(AND(F354&lt;&gt;"",NOT(COUNTIFS(Bills!$D$8:$D$507,C354,Bills!$C$8:$C$507,F354)&gt;0)),"⚠ Bill not found – treated as on account",IF(F354="","✔ On account","✔")))))))</f>
        <v/>
      </c>
      <c r="J354" s="9" t="n">
        <f aca="false">IF(C354="",0,IF(F354="",N(D354),IF(COUNTIFS(Bills!$D$8:$D$507,C354,Bills!$C$8:$C$507,F354)&gt;0,0,N(D354))))</f>
        <v>0</v>
      </c>
    </row>
    <row r="355" customFormat="false" ht="15" hidden="false" customHeight="false" outlineLevel="0" collapsed="false">
      <c r="A355" s="40" t="str">
        <f aca="false">IF(C355="","",ROW()-7)</f>
        <v/>
      </c>
      <c r="B355" s="79"/>
      <c r="C355" s="76"/>
      <c r="D355" s="80"/>
      <c r="E355" s="78"/>
      <c r="F355" s="75"/>
      <c r="G355" s="75"/>
      <c r="H355" s="76"/>
      <c r="I355" s="50" t="str">
        <f aca="false">IF(AND(C355="",B355="",D355=""),"",IF(C355="","⚠ Pick supplier",IF(ISNA(MATCH(C355,Suppliers!$B$7:$B$106,0)),"⚠ Supplier not in list",IF(B355="","⚠ Enter date",IF(N(D355)&lt;=0,"⚠ Enter amount",IF(AND(F355&lt;&gt;"",NOT(COUNTIFS(Bills!$D$8:$D$507,C355,Bills!$C$8:$C$507,F355)&gt;0)),"⚠ Bill not found – treated as on account",IF(F355="","✔ On account","✔")))))))</f>
        <v/>
      </c>
      <c r="J355" s="9" t="n">
        <f aca="false">IF(C355="",0,IF(F355="",N(D355),IF(COUNTIFS(Bills!$D$8:$D$507,C355,Bills!$C$8:$C$507,F355)&gt;0,0,N(D355))))</f>
        <v>0</v>
      </c>
    </row>
    <row r="356" customFormat="false" ht="15" hidden="false" customHeight="false" outlineLevel="0" collapsed="false">
      <c r="A356" s="40" t="str">
        <f aca="false">IF(C356="","",ROW()-7)</f>
        <v/>
      </c>
      <c r="B356" s="79"/>
      <c r="C356" s="76"/>
      <c r="D356" s="80"/>
      <c r="E356" s="78"/>
      <c r="F356" s="75"/>
      <c r="G356" s="75"/>
      <c r="H356" s="76"/>
      <c r="I356" s="50" t="str">
        <f aca="false">IF(AND(C356="",B356="",D356=""),"",IF(C356="","⚠ Pick supplier",IF(ISNA(MATCH(C356,Suppliers!$B$7:$B$106,0)),"⚠ Supplier not in list",IF(B356="","⚠ Enter date",IF(N(D356)&lt;=0,"⚠ Enter amount",IF(AND(F356&lt;&gt;"",NOT(COUNTIFS(Bills!$D$8:$D$507,C356,Bills!$C$8:$C$507,F356)&gt;0)),"⚠ Bill not found – treated as on account",IF(F356="","✔ On account","✔")))))))</f>
        <v/>
      </c>
      <c r="J356" s="9" t="n">
        <f aca="false">IF(C356="",0,IF(F356="",N(D356),IF(COUNTIFS(Bills!$D$8:$D$507,C356,Bills!$C$8:$C$507,F356)&gt;0,0,N(D356))))</f>
        <v>0</v>
      </c>
    </row>
    <row r="357" customFormat="false" ht="15" hidden="false" customHeight="false" outlineLevel="0" collapsed="false">
      <c r="A357" s="40" t="str">
        <f aca="false">IF(C357="","",ROW()-7)</f>
        <v/>
      </c>
      <c r="B357" s="79"/>
      <c r="C357" s="76"/>
      <c r="D357" s="80"/>
      <c r="E357" s="78"/>
      <c r="F357" s="75"/>
      <c r="G357" s="75"/>
      <c r="H357" s="76"/>
      <c r="I357" s="50" t="str">
        <f aca="false">IF(AND(C357="",B357="",D357=""),"",IF(C357="","⚠ Pick supplier",IF(ISNA(MATCH(C357,Suppliers!$B$7:$B$106,0)),"⚠ Supplier not in list",IF(B357="","⚠ Enter date",IF(N(D357)&lt;=0,"⚠ Enter amount",IF(AND(F357&lt;&gt;"",NOT(COUNTIFS(Bills!$D$8:$D$507,C357,Bills!$C$8:$C$507,F357)&gt;0)),"⚠ Bill not found – treated as on account",IF(F357="","✔ On account","✔")))))))</f>
        <v/>
      </c>
      <c r="J357" s="9" t="n">
        <f aca="false">IF(C357="",0,IF(F357="",N(D357),IF(COUNTIFS(Bills!$D$8:$D$507,C357,Bills!$C$8:$C$507,F357)&gt;0,0,N(D357))))</f>
        <v>0</v>
      </c>
    </row>
    <row r="358" customFormat="false" ht="15" hidden="false" customHeight="false" outlineLevel="0" collapsed="false">
      <c r="A358" s="40" t="str">
        <f aca="false">IF(C358="","",ROW()-7)</f>
        <v/>
      </c>
      <c r="B358" s="79"/>
      <c r="C358" s="76"/>
      <c r="D358" s="80"/>
      <c r="E358" s="78"/>
      <c r="F358" s="75"/>
      <c r="G358" s="75"/>
      <c r="H358" s="76"/>
      <c r="I358" s="50" t="str">
        <f aca="false">IF(AND(C358="",B358="",D358=""),"",IF(C358="","⚠ Pick supplier",IF(ISNA(MATCH(C358,Suppliers!$B$7:$B$106,0)),"⚠ Supplier not in list",IF(B358="","⚠ Enter date",IF(N(D358)&lt;=0,"⚠ Enter amount",IF(AND(F358&lt;&gt;"",NOT(COUNTIFS(Bills!$D$8:$D$507,C358,Bills!$C$8:$C$507,F358)&gt;0)),"⚠ Bill not found – treated as on account",IF(F358="","✔ On account","✔")))))))</f>
        <v/>
      </c>
      <c r="J358" s="9" t="n">
        <f aca="false">IF(C358="",0,IF(F358="",N(D358),IF(COUNTIFS(Bills!$D$8:$D$507,C358,Bills!$C$8:$C$507,F358)&gt;0,0,N(D358))))</f>
        <v>0</v>
      </c>
    </row>
    <row r="359" customFormat="false" ht="15" hidden="false" customHeight="false" outlineLevel="0" collapsed="false">
      <c r="A359" s="40" t="str">
        <f aca="false">IF(C359="","",ROW()-7)</f>
        <v/>
      </c>
      <c r="B359" s="79"/>
      <c r="C359" s="76"/>
      <c r="D359" s="80"/>
      <c r="E359" s="78"/>
      <c r="F359" s="75"/>
      <c r="G359" s="75"/>
      <c r="H359" s="76"/>
      <c r="I359" s="50" t="str">
        <f aca="false">IF(AND(C359="",B359="",D359=""),"",IF(C359="","⚠ Pick supplier",IF(ISNA(MATCH(C359,Suppliers!$B$7:$B$106,0)),"⚠ Supplier not in list",IF(B359="","⚠ Enter date",IF(N(D359)&lt;=0,"⚠ Enter amount",IF(AND(F359&lt;&gt;"",NOT(COUNTIFS(Bills!$D$8:$D$507,C359,Bills!$C$8:$C$507,F359)&gt;0)),"⚠ Bill not found – treated as on account",IF(F359="","✔ On account","✔")))))))</f>
        <v/>
      </c>
      <c r="J359" s="9" t="n">
        <f aca="false">IF(C359="",0,IF(F359="",N(D359),IF(COUNTIFS(Bills!$D$8:$D$507,C359,Bills!$C$8:$C$507,F359)&gt;0,0,N(D359))))</f>
        <v>0</v>
      </c>
    </row>
    <row r="360" customFormat="false" ht="15" hidden="false" customHeight="false" outlineLevel="0" collapsed="false">
      <c r="A360" s="40" t="str">
        <f aca="false">IF(C360="","",ROW()-7)</f>
        <v/>
      </c>
      <c r="B360" s="79"/>
      <c r="C360" s="76"/>
      <c r="D360" s="80"/>
      <c r="E360" s="78"/>
      <c r="F360" s="75"/>
      <c r="G360" s="75"/>
      <c r="H360" s="76"/>
      <c r="I360" s="50" t="str">
        <f aca="false">IF(AND(C360="",B360="",D360=""),"",IF(C360="","⚠ Pick supplier",IF(ISNA(MATCH(C360,Suppliers!$B$7:$B$106,0)),"⚠ Supplier not in list",IF(B360="","⚠ Enter date",IF(N(D360)&lt;=0,"⚠ Enter amount",IF(AND(F360&lt;&gt;"",NOT(COUNTIFS(Bills!$D$8:$D$507,C360,Bills!$C$8:$C$507,F360)&gt;0)),"⚠ Bill not found – treated as on account",IF(F360="","✔ On account","✔")))))))</f>
        <v/>
      </c>
      <c r="J360" s="9" t="n">
        <f aca="false">IF(C360="",0,IF(F360="",N(D360),IF(COUNTIFS(Bills!$D$8:$D$507,C360,Bills!$C$8:$C$507,F360)&gt;0,0,N(D360))))</f>
        <v>0</v>
      </c>
    </row>
    <row r="361" customFormat="false" ht="15" hidden="false" customHeight="false" outlineLevel="0" collapsed="false">
      <c r="A361" s="40" t="str">
        <f aca="false">IF(C361="","",ROW()-7)</f>
        <v/>
      </c>
      <c r="B361" s="79"/>
      <c r="C361" s="76"/>
      <c r="D361" s="80"/>
      <c r="E361" s="78"/>
      <c r="F361" s="75"/>
      <c r="G361" s="75"/>
      <c r="H361" s="76"/>
      <c r="I361" s="50" t="str">
        <f aca="false">IF(AND(C361="",B361="",D361=""),"",IF(C361="","⚠ Pick supplier",IF(ISNA(MATCH(C361,Suppliers!$B$7:$B$106,0)),"⚠ Supplier not in list",IF(B361="","⚠ Enter date",IF(N(D361)&lt;=0,"⚠ Enter amount",IF(AND(F361&lt;&gt;"",NOT(COUNTIFS(Bills!$D$8:$D$507,C361,Bills!$C$8:$C$507,F361)&gt;0)),"⚠ Bill not found – treated as on account",IF(F361="","✔ On account","✔")))))))</f>
        <v/>
      </c>
      <c r="J361" s="9" t="n">
        <f aca="false">IF(C361="",0,IF(F361="",N(D361),IF(COUNTIFS(Bills!$D$8:$D$507,C361,Bills!$C$8:$C$507,F361)&gt;0,0,N(D361))))</f>
        <v>0</v>
      </c>
    </row>
    <row r="362" customFormat="false" ht="15" hidden="false" customHeight="false" outlineLevel="0" collapsed="false">
      <c r="A362" s="40" t="str">
        <f aca="false">IF(C362="","",ROW()-7)</f>
        <v/>
      </c>
      <c r="B362" s="79"/>
      <c r="C362" s="76"/>
      <c r="D362" s="80"/>
      <c r="E362" s="78"/>
      <c r="F362" s="75"/>
      <c r="G362" s="75"/>
      <c r="H362" s="76"/>
      <c r="I362" s="50" t="str">
        <f aca="false">IF(AND(C362="",B362="",D362=""),"",IF(C362="","⚠ Pick supplier",IF(ISNA(MATCH(C362,Suppliers!$B$7:$B$106,0)),"⚠ Supplier not in list",IF(B362="","⚠ Enter date",IF(N(D362)&lt;=0,"⚠ Enter amount",IF(AND(F362&lt;&gt;"",NOT(COUNTIFS(Bills!$D$8:$D$507,C362,Bills!$C$8:$C$507,F362)&gt;0)),"⚠ Bill not found – treated as on account",IF(F362="","✔ On account","✔")))))))</f>
        <v/>
      </c>
      <c r="J362" s="9" t="n">
        <f aca="false">IF(C362="",0,IF(F362="",N(D362),IF(COUNTIFS(Bills!$D$8:$D$507,C362,Bills!$C$8:$C$507,F362)&gt;0,0,N(D362))))</f>
        <v>0</v>
      </c>
    </row>
    <row r="363" customFormat="false" ht="15" hidden="false" customHeight="false" outlineLevel="0" collapsed="false">
      <c r="A363" s="40" t="str">
        <f aca="false">IF(C363="","",ROW()-7)</f>
        <v/>
      </c>
      <c r="B363" s="79"/>
      <c r="C363" s="76"/>
      <c r="D363" s="80"/>
      <c r="E363" s="78"/>
      <c r="F363" s="75"/>
      <c r="G363" s="75"/>
      <c r="H363" s="76"/>
      <c r="I363" s="50" t="str">
        <f aca="false">IF(AND(C363="",B363="",D363=""),"",IF(C363="","⚠ Pick supplier",IF(ISNA(MATCH(C363,Suppliers!$B$7:$B$106,0)),"⚠ Supplier not in list",IF(B363="","⚠ Enter date",IF(N(D363)&lt;=0,"⚠ Enter amount",IF(AND(F363&lt;&gt;"",NOT(COUNTIFS(Bills!$D$8:$D$507,C363,Bills!$C$8:$C$507,F363)&gt;0)),"⚠ Bill not found – treated as on account",IF(F363="","✔ On account","✔")))))))</f>
        <v/>
      </c>
      <c r="J363" s="9" t="n">
        <f aca="false">IF(C363="",0,IF(F363="",N(D363),IF(COUNTIFS(Bills!$D$8:$D$507,C363,Bills!$C$8:$C$507,F363)&gt;0,0,N(D363))))</f>
        <v>0</v>
      </c>
    </row>
    <row r="364" customFormat="false" ht="15" hidden="false" customHeight="false" outlineLevel="0" collapsed="false">
      <c r="A364" s="40" t="str">
        <f aca="false">IF(C364="","",ROW()-7)</f>
        <v/>
      </c>
      <c r="B364" s="79"/>
      <c r="C364" s="76"/>
      <c r="D364" s="80"/>
      <c r="E364" s="78"/>
      <c r="F364" s="75"/>
      <c r="G364" s="75"/>
      <c r="H364" s="76"/>
      <c r="I364" s="50" t="str">
        <f aca="false">IF(AND(C364="",B364="",D364=""),"",IF(C364="","⚠ Pick supplier",IF(ISNA(MATCH(C364,Suppliers!$B$7:$B$106,0)),"⚠ Supplier not in list",IF(B364="","⚠ Enter date",IF(N(D364)&lt;=0,"⚠ Enter amount",IF(AND(F364&lt;&gt;"",NOT(COUNTIFS(Bills!$D$8:$D$507,C364,Bills!$C$8:$C$507,F364)&gt;0)),"⚠ Bill not found – treated as on account",IF(F364="","✔ On account","✔")))))))</f>
        <v/>
      </c>
      <c r="J364" s="9" t="n">
        <f aca="false">IF(C364="",0,IF(F364="",N(D364),IF(COUNTIFS(Bills!$D$8:$D$507,C364,Bills!$C$8:$C$507,F364)&gt;0,0,N(D364))))</f>
        <v>0</v>
      </c>
    </row>
    <row r="365" customFormat="false" ht="15" hidden="false" customHeight="false" outlineLevel="0" collapsed="false">
      <c r="A365" s="40" t="str">
        <f aca="false">IF(C365="","",ROW()-7)</f>
        <v/>
      </c>
      <c r="B365" s="79"/>
      <c r="C365" s="76"/>
      <c r="D365" s="80"/>
      <c r="E365" s="78"/>
      <c r="F365" s="75"/>
      <c r="G365" s="75"/>
      <c r="H365" s="76"/>
      <c r="I365" s="50" t="str">
        <f aca="false">IF(AND(C365="",B365="",D365=""),"",IF(C365="","⚠ Pick supplier",IF(ISNA(MATCH(C365,Suppliers!$B$7:$B$106,0)),"⚠ Supplier not in list",IF(B365="","⚠ Enter date",IF(N(D365)&lt;=0,"⚠ Enter amount",IF(AND(F365&lt;&gt;"",NOT(COUNTIFS(Bills!$D$8:$D$507,C365,Bills!$C$8:$C$507,F365)&gt;0)),"⚠ Bill not found – treated as on account",IF(F365="","✔ On account","✔")))))))</f>
        <v/>
      </c>
      <c r="J365" s="9" t="n">
        <f aca="false">IF(C365="",0,IF(F365="",N(D365),IF(COUNTIFS(Bills!$D$8:$D$507,C365,Bills!$C$8:$C$507,F365)&gt;0,0,N(D365))))</f>
        <v>0</v>
      </c>
    </row>
    <row r="366" customFormat="false" ht="15" hidden="false" customHeight="false" outlineLevel="0" collapsed="false">
      <c r="A366" s="40" t="str">
        <f aca="false">IF(C366="","",ROW()-7)</f>
        <v/>
      </c>
      <c r="B366" s="79"/>
      <c r="C366" s="76"/>
      <c r="D366" s="80"/>
      <c r="E366" s="78"/>
      <c r="F366" s="75"/>
      <c r="G366" s="75"/>
      <c r="H366" s="76"/>
      <c r="I366" s="50" t="str">
        <f aca="false">IF(AND(C366="",B366="",D366=""),"",IF(C366="","⚠ Pick supplier",IF(ISNA(MATCH(C366,Suppliers!$B$7:$B$106,0)),"⚠ Supplier not in list",IF(B366="","⚠ Enter date",IF(N(D366)&lt;=0,"⚠ Enter amount",IF(AND(F366&lt;&gt;"",NOT(COUNTIFS(Bills!$D$8:$D$507,C366,Bills!$C$8:$C$507,F366)&gt;0)),"⚠ Bill not found – treated as on account",IF(F366="","✔ On account","✔")))))))</f>
        <v/>
      </c>
      <c r="J366" s="9" t="n">
        <f aca="false">IF(C366="",0,IF(F366="",N(D366),IF(COUNTIFS(Bills!$D$8:$D$507,C366,Bills!$C$8:$C$507,F366)&gt;0,0,N(D366))))</f>
        <v>0</v>
      </c>
    </row>
    <row r="367" customFormat="false" ht="15" hidden="false" customHeight="false" outlineLevel="0" collapsed="false">
      <c r="A367" s="40" t="str">
        <f aca="false">IF(C367="","",ROW()-7)</f>
        <v/>
      </c>
      <c r="B367" s="79"/>
      <c r="C367" s="76"/>
      <c r="D367" s="80"/>
      <c r="E367" s="78"/>
      <c r="F367" s="75"/>
      <c r="G367" s="75"/>
      <c r="H367" s="76"/>
      <c r="I367" s="50" t="str">
        <f aca="false">IF(AND(C367="",B367="",D367=""),"",IF(C367="","⚠ Pick supplier",IF(ISNA(MATCH(C367,Suppliers!$B$7:$B$106,0)),"⚠ Supplier not in list",IF(B367="","⚠ Enter date",IF(N(D367)&lt;=0,"⚠ Enter amount",IF(AND(F367&lt;&gt;"",NOT(COUNTIFS(Bills!$D$8:$D$507,C367,Bills!$C$8:$C$507,F367)&gt;0)),"⚠ Bill not found – treated as on account",IF(F367="","✔ On account","✔")))))))</f>
        <v/>
      </c>
      <c r="J367" s="9" t="n">
        <f aca="false">IF(C367="",0,IF(F367="",N(D367),IF(COUNTIFS(Bills!$D$8:$D$507,C367,Bills!$C$8:$C$507,F367)&gt;0,0,N(D367))))</f>
        <v>0</v>
      </c>
    </row>
    <row r="368" customFormat="false" ht="15" hidden="false" customHeight="false" outlineLevel="0" collapsed="false">
      <c r="A368" s="40" t="str">
        <f aca="false">IF(C368="","",ROW()-7)</f>
        <v/>
      </c>
      <c r="B368" s="79"/>
      <c r="C368" s="76"/>
      <c r="D368" s="80"/>
      <c r="E368" s="78"/>
      <c r="F368" s="75"/>
      <c r="G368" s="75"/>
      <c r="H368" s="76"/>
      <c r="I368" s="50" t="str">
        <f aca="false">IF(AND(C368="",B368="",D368=""),"",IF(C368="","⚠ Pick supplier",IF(ISNA(MATCH(C368,Suppliers!$B$7:$B$106,0)),"⚠ Supplier not in list",IF(B368="","⚠ Enter date",IF(N(D368)&lt;=0,"⚠ Enter amount",IF(AND(F368&lt;&gt;"",NOT(COUNTIFS(Bills!$D$8:$D$507,C368,Bills!$C$8:$C$507,F368)&gt;0)),"⚠ Bill not found – treated as on account",IF(F368="","✔ On account","✔")))))))</f>
        <v/>
      </c>
      <c r="J368" s="9" t="n">
        <f aca="false">IF(C368="",0,IF(F368="",N(D368),IF(COUNTIFS(Bills!$D$8:$D$507,C368,Bills!$C$8:$C$507,F368)&gt;0,0,N(D368))))</f>
        <v>0</v>
      </c>
    </row>
    <row r="369" customFormat="false" ht="15" hidden="false" customHeight="false" outlineLevel="0" collapsed="false">
      <c r="A369" s="40" t="str">
        <f aca="false">IF(C369="","",ROW()-7)</f>
        <v/>
      </c>
      <c r="B369" s="79"/>
      <c r="C369" s="76"/>
      <c r="D369" s="80"/>
      <c r="E369" s="78"/>
      <c r="F369" s="75"/>
      <c r="G369" s="75"/>
      <c r="H369" s="76"/>
      <c r="I369" s="50" t="str">
        <f aca="false">IF(AND(C369="",B369="",D369=""),"",IF(C369="","⚠ Pick supplier",IF(ISNA(MATCH(C369,Suppliers!$B$7:$B$106,0)),"⚠ Supplier not in list",IF(B369="","⚠ Enter date",IF(N(D369)&lt;=0,"⚠ Enter amount",IF(AND(F369&lt;&gt;"",NOT(COUNTIFS(Bills!$D$8:$D$507,C369,Bills!$C$8:$C$507,F369)&gt;0)),"⚠ Bill not found – treated as on account",IF(F369="","✔ On account","✔")))))))</f>
        <v/>
      </c>
      <c r="J369" s="9" t="n">
        <f aca="false">IF(C369="",0,IF(F369="",N(D369),IF(COUNTIFS(Bills!$D$8:$D$507,C369,Bills!$C$8:$C$507,F369)&gt;0,0,N(D369))))</f>
        <v>0</v>
      </c>
    </row>
    <row r="370" customFormat="false" ht="15" hidden="false" customHeight="false" outlineLevel="0" collapsed="false">
      <c r="A370" s="40" t="str">
        <f aca="false">IF(C370="","",ROW()-7)</f>
        <v/>
      </c>
      <c r="B370" s="79"/>
      <c r="C370" s="76"/>
      <c r="D370" s="80"/>
      <c r="E370" s="78"/>
      <c r="F370" s="75"/>
      <c r="G370" s="75"/>
      <c r="H370" s="76"/>
      <c r="I370" s="50" t="str">
        <f aca="false">IF(AND(C370="",B370="",D370=""),"",IF(C370="","⚠ Pick supplier",IF(ISNA(MATCH(C370,Suppliers!$B$7:$B$106,0)),"⚠ Supplier not in list",IF(B370="","⚠ Enter date",IF(N(D370)&lt;=0,"⚠ Enter amount",IF(AND(F370&lt;&gt;"",NOT(COUNTIFS(Bills!$D$8:$D$507,C370,Bills!$C$8:$C$507,F370)&gt;0)),"⚠ Bill not found – treated as on account",IF(F370="","✔ On account","✔")))))))</f>
        <v/>
      </c>
      <c r="J370" s="9" t="n">
        <f aca="false">IF(C370="",0,IF(F370="",N(D370),IF(COUNTIFS(Bills!$D$8:$D$507,C370,Bills!$C$8:$C$507,F370)&gt;0,0,N(D370))))</f>
        <v>0</v>
      </c>
    </row>
    <row r="371" customFormat="false" ht="15" hidden="false" customHeight="false" outlineLevel="0" collapsed="false">
      <c r="A371" s="40" t="str">
        <f aca="false">IF(C371="","",ROW()-7)</f>
        <v/>
      </c>
      <c r="B371" s="79"/>
      <c r="C371" s="76"/>
      <c r="D371" s="80"/>
      <c r="E371" s="78"/>
      <c r="F371" s="75"/>
      <c r="G371" s="75"/>
      <c r="H371" s="76"/>
      <c r="I371" s="50" t="str">
        <f aca="false">IF(AND(C371="",B371="",D371=""),"",IF(C371="","⚠ Pick supplier",IF(ISNA(MATCH(C371,Suppliers!$B$7:$B$106,0)),"⚠ Supplier not in list",IF(B371="","⚠ Enter date",IF(N(D371)&lt;=0,"⚠ Enter amount",IF(AND(F371&lt;&gt;"",NOT(COUNTIFS(Bills!$D$8:$D$507,C371,Bills!$C$8:$C$507,F371)&gt;0)),"⚠ Bill not found – treated as on account",IF(F371="","✔ On account","✔")))))))</f>
        <v/>
      </c>
      <c r="J371" s="9" t="n">
        <f aca="false">IF(C371="",0,IF(F371="",N(D371),IF(COUNTIFS(Bills!$D$8:$D$507,C371,Bills!$C$8:$C$507,F371)&gt;0,0,N(D371))))</f>
        <v>0</v>
      </c>
    </row>
    <row r="372" customFormat="false" ht="15" hidden="false" customHeight="false" outlineLevel="0" collapsed="false">
      <c r="A372" s="40" t="str">
        <f aca="false">IF(C372="","",ROW()-7)</f>
        <v/>
      </c>
      <c r="B372" s="79"/>
      <c r="C372" s="76"/>
      <c r="D372" s="80"/>
      <c r="E372" s="78"/>
      <c r="F372" s="75"/>
      <c r="G372" s="75"/>
      <c r="H372" s="76"/>
      <c r="I372" s="50" t="str">
        <f aca="false">IF(AND(C372="",B372="",D372=""),"",IF(C372="","⚠ Pick supplier",IF(ISNA(MATCH(C372,Suppliers!$B$7:$B$106,0)),"⚠ Supplier not in list",IF(B372="","⚠ Enter date",IF(N(D372)&lt;=0,"⚠ Enter amount",IF(AND(F372&lt;&gt;"",NOT(COUNTIFS(Bills!$D$8:$D$507,C372,Bills!$C$8:$C$507,F372)&gt;0)),"⚠ Bill not found – treated as on account",IF(F372="","✔ On account","✔")))))))</f>
        <v/>
      </c>
      <c r="J372" s="9" t="n">
        <f aca="false">IF(C372="",0,IF(F372="",N(D372),IF(COUNTIFS(Bills!$D$8:$D$507,C372,Bills!$C$8:$C$507,F372)&gt;0,0,N(D372))))</f>
        <v>0</v>
      </c>
    </row>
    <row r="373" customFormat="false" ht="15" hidden="false" customHeight="false" outlineLevel="0" collapsed="false">
      <c r="A373" s="40" t="str">
        <f aca="false">IF(C373="","",ROW()-7)</f>
        <v/>
      </c>
      <c r="B373" s="79"/>
      <c r="C373" s="76"/>
      <c r="D373" s="80"/>
      <c r="E373" s="78"/>
      <c r="F373" s="75"/>
      <c r="G373" s="75"/>
      <c r="H373" s="76"/>
      <c r="I373" s="50" t="str">
        <f aca="false">IF(AND(C373="",B373="",D373=""),"",IF(C373="","⚠ Pick supplier",IF(ISNA(MATCH(C373,Suppliers!$B$7:$B$106,0)),"⚠ Supplier not in list",IF(B373="","⚠ Enter date",IF(N(D373)&lt;=0,"⚠ Enter amount",IF(AND(F373&lt;&gt;"",NOT(COUNTIFS(Bills!$D$8:$D$507,C373,Bills!$C$8:$C$507,F373)&gt;0)),"⚠ Bill not found – treated as on account",IF(F373="","✔ On account","✔")))))))</f>
        <v/>
      </c>
      <c r="J373" s="9" t="n">
        <f aca="false">IF(C373="",0,IF(F373="",N(D373),IF(COUNTIFS(Bills!$D$8:$D$507,C373,Bills!$C$8:$C$507,F373)&gt;0,0,N(D373))))</f>
        <v>0</v>
      </c>
    </row>
    <row r="374" customFormat="false" ht="15" hidden="false" customHeight="false" outlineLevel="0" collapsed="false">
      <c r="A374" s="40" t="str">
        <f aca="false">IF(C374="","",ROW()-7)</f>
        <v/>
      </c>
      <c r="B374" s="79"/>
      <c r="C374" s="76"/>
      <c r="D374" s="80"/>
      <c r="E374" s="78"/>
      <c r="F374" s="75"/>
      <c r="G374" s="75"/>
      <c r="H374" s="76"/>
      <c r="I374" s="50" t="str">
        <f aca="false">IF(AND(C374="",B374="",D374=""),"",IF(C374="","⚠ Pick supplier",IF(ISNA(MATCH(C374,Suppliers!$B$7:$B$106,0)),"⚠ Supplier not in list",IF(B374="","⚠ Enter date",IF(N(D374)&lt;=0,"⚠ Enter amount",IF(AND(F374&lt;&gt;"",NOT(COUNTIFS(Bills!$D$8:$D$507,C374,Bills!$C$8:$C$507,F374)&gt;0)),"⚠ Bill not found – treated as on account",IF(F374="","✔ On account","✔")))))))</f>
        <v/>
      </c>
      <c r="J374" s="9" t="n">
        <f aca="false">IF(C374="",0,IF(F374="",N(D374),IF(COUNTIFS(Bills!$D$8:$D$507,C374,Bills!$C$8:$C$507,F374)&gt;0,0,N(D374))))</f>
        <v>0</v>
      </c>
    </row>
    <row r="375" customFormat="false" ht="15" hidden="false" customHeight="false" outlineLevel="0" collapsed="false">
      <c r="A375" s="40" t="str">
        <f aca="false">IF(C375="","",ROW()-7)</f>
        <v/>
      </c>
      <c r="B375" s="79"/>
      <c r="C375" s="76"/>
      <c r="D375" s="80"/>
      <c r="E375" s="78"/>
      <c r="F375" s="75"/>
      <c r="G375" s="75"/>
      <c r="H375" s="76"/>
      <c r="I375" s="50" t="str">
        <f aca="false">IF(AND(C375="",B375="",D375=""),"",IF(C375="","⚠ Pick supplier",IF(ISNA(MATCH(C375,Suppliers!$B$7:$B$106,0)),"⚠ Supplier not in list",IF(B375="","⚠ Enter date",IF(N(D375)&lt;=0,"⚠ Enter amount",IF(AND(F375&lt;&gt;"",NOT(COUNTIFS(Bills!$D$8:$D$507,C375,Bills!$C$8:$C$507,F375)&gt;0)),"⚠ Bill not found – treated as on account",IF(F375="","✔ On account","✔")))))))</f>
        <v/>
      </c>
      <c r="J375" s="9" t="n">
        <f aca="false">IF(C375="",0,IF(F375="",N(D375),IF(COUNTIFS(Bills!$D$8:$D$507,C375,Bills!$C$8:$C$507,F375)&gt;0,0,N(D375))))</f>
        <v>0</v>
      </c>
    </row>
    <row r="376" customFormat="false" ht="15" hidden="false" customHeight="false" outlineLevel="0" collapsed="false">
      <c r="A376" s="40" t="str">
        <f aca="false">IF(C376="","",ROW()-7)</f>
        <v/>
      </c>
      <c r="B376" s="79"/>
      <c r="C376" s="76"/>
      <c r="D376" s="80"/>
      <c r="E376" s="78"/>
      <c r="F376" s="75"/>
      <c r="G376" s="75"/>
      <c r="H376" s="76"/>
      <c r="I376" s="50" t="str">
        <f aca="false">IF(AND(C376="",B376="",D376=""),"",IF(C376="","⚠ Pick supplier",IF(ISNA(MATCH(C376,Suppliers!$B$7:$B$106,0)),"⚠ Supplier not in list",IF(B376="","⚠ Enter date",IF(N(D376)&lt;=0,"⚠ Enter amount",IF(AND(F376&lt;&gt;"",NOT(COUNTIFS(Bills!$D$8:$D$507,C376,Bills!$C$8:$C$507,F376)&gt;0)),"⚠ Bill not found – treated as on account",IF(F376="","✔ On account","✔")))))))</f>
        <v/>
      </c>
      <c r="J376" s="9" t="n">
        <f aca="false">IF(C376="",0,IF(F376="",N(D376),IF(COUNTIFS(Bills!$D$8:$D$507,C376,Bills!$C$8:$C$507,F376)&gt;0,0,N(D376))))</f>
        <v>0</v>
      </c>
    </row>
    <row r="377" customFormat="false" ht="15" hidden="false" customHeight="false" outlineLevel="0" collapsed="false">
      <c r="A377" s="40" t="str">
        <f aca="false">IF(C377="","",ROW()-7)</f>
        <v/>
      </c>
      <c r="B377" s="79"/>
      <c r="C377" s="76"/>
      <c r="D377" s="80"/>
      <c r="E377" s="78"/>
      <c r="F377" s="75"/>
      <c r="G377" s="75"/>
      <c r="H377" s="76"/>
      <c r="I377" s="50" t="str">
        <f aca="false">IF(AND(C377="",B377="",D377=""),"",IF(C377="","⚠ Pick supplier",IF(ISNA(MATCH(C377,Suppliers!$B$7:$B$106,0)),"⚠ Supplier not in list",IF(B377="","⚠ Enter date",IF(N(D377)&lt;=0,"⚠ Enter amount",IF(AND(F377&lt;&gt;"",NOT(COUNTIFS(Bills!$D$8:$D$507,C377,Bills!$C$8:$C$507,F377)&gt;0)),"⚠ Bill not found – treated as on account",IF(F377="","✔ On account","✔")))))))</f>
        <v/>
      </c>
      <c r="J377" s="9" t="n">
        <f aca="false">IF(C377="",0,IF(F377="",N(D377),IF(COUNTIFS(Bills!$D$8:$D$507,C377,Bills!$C$8:$C$507,F377)&gt;0,0,N(D377))))</f>
        <v>0</v>
      </c>
    </row>
    <row r="378" customFormat="false" ht="15" hidden="false" customHeight="false" outlineLevel="0" collapsed="false">
      <c r="A378" s="40" t="str">
        <f aca="false">IF(C378="","",ROW()-7)</f>
        <v/>
      </c>
      <c r="B378" s="79"/>
      <c r="C378" s="76"/>
      <c r="D378" s="80"/>
      <c r="E378" s="78"/>
      <c r="F378" s="75"/>
      <c r="G378" s="75"/>
      <c r="H378" s="76"/>
      <c r="I378" s="50" t="str">
        <f aca="false">IF(AND(C378="",B378="",D378=""),"",IF(C378="","⚠ Pick supplier",IF(ISNA(MATCH(C378,Suppliers!$B$7:$B$106,0)),"⚠ Supplier not in list",IF(B378="","⚠ Enter date",IF(N(D378)&lt;=0,"⚠ Enter amount",IF(AND(F378&lt;&gt;"",NOT(COUNTIFS(Bills!$D$8:$D$507,C378,Bills!$C$8:$C$507,F378)&gt;0)),"⚠ Bill not found – treated as on account",IF(F378="","✔ On account","✔")))))))</f>
        <v/>
      </c>
      <c r="J378" s="9" t="n">
        <f aca="false">IF(C378="",0,IF(F378="",N(D378),IF(COUNTIFS(Bills!$D$8:$D$507,C378,Bills!$C$8:$C$507,F378)&gt;0,0,N(D378))))</f>
        <v>0</v>
      </c>
    </row>
    <row r="379" customFormat="false" ht="15" hidden="false" customHeight="false" outlineLevel="0" collapsed="false">
      <c r="A379" s="40" t="str">
        <f aca="false">IF(C379="","",ROW()-7)</f>
        <v/>
      </c>
      <c r="B379" s="79"/>
      <c r="C379" s="76"/>
      <c r="D379" s="80"/>
      <c r="E379" s="78"/>
      <c r="F379" s="75"/>
      <c r="G379" s="75"/>
      <c r="H379" s="76"/>
      <c r="I379" s="50" t="str">
        <f aca="false">IF(AND(C379="",B379="",D379=""),"",IF(C379="","⚠ Pick supplier",IF(ISNA(MATCH(C379,Suppliers!$B$7:$B$106,0)),"⚠ Supplier not in list",IF(B379="","⚠ Enter date",IF(N(D379)&lt;=0,"⚠ Enter amount",IF(AND(F379&lt;&gt;"",NOT(COUNTIFS(Bills!$D$8:$D$507,C379,Bills!$C$8:$C$507,F379)&gt;0)),"⚠ Bill not found – treated as on account",IF(F379="","✔ On account","✔")))))))</f>
        <v/>
      </c>
      <c r="J379" s="9" t="n">
        <f aca="false">IF(C379="",0,IF(F379="",N(D379),IF(COUNTIFS(Bills!$D$8:$D$507,C379,Bills!$C$8:$C$507,F379)&gt;0,0,N(D379))))</f>
        <v>0</v>
      </c>
    </row>
    <row r="380" customFormat="false" ht="15" hidden="false" customHeight="false" outlineLevel="0" collapsed="false">
      <c r="A380" s="40" t="str">
        <f aca="false">IF(C380="","",ROW()-7)</f>
        <v/>
      </c>
      <c r="B380" s="79"/>
      <c r="C380" s="76"/>
      <c r="D380" s="80"/>
      <c r="E380" s="78"/>
      <c r="F380" s="75"/>
      <c r="G380" s="75"/>
      <c r="H380" s="76"/>
      <c r="I380" s="50" t="str">
        <f aca="false">IF(AND(C380="",B380="",D380=""),"",IF(C380="","⚠ Pick supplier",IF(ISNA(MATCH(C380,Suppliers!$B$7:$B$106,0)),"⚠ Supplier not in list",IF(B380="","⚠ Enter date",IF(N(D380)&lt;=0,"⚠ Enter amount",IF(AND(F380&lt;&gt;"",NOT(COUNTIFS(Bills!$D$8:$D$507,C380,Bills!$C$8:$C$507,F380)&gt;0)),"⚠ Bill not found – treated as on account",IF(F380="","✔ On account","✔")))))))</f>
        <v/>
      </c>
      <c r="J380" s="9" t="n">
        <f aca="false">IF(C380="",0,IF(F380="",N(D380),IF(COUNTIFS(Bills!$D$8:$D$507,C380,Bills!$C$8:$C$507,F380)&gt;0,0,N(D380))))</f>
        <v>0</v>
      </c>
    </row>
    <row r="381" customFormat="false" ht="15" hidden="false" customHeight="false" outlineLevel="0" collapsed="false">
      <c r="A381" s="40" t="str">
        <f aca="false">IF(C381="","",ROW()-7)</f>
        <v/>
      </c>
      <c r="B381" s="79"/>
      <c r="C381" s="76"/>
      <c r="D381" s="80"/>
      <c r="E381" s="78"/>
      <c r="F381" s="75"/>
      <c r="G381" s="75"/>
      <c r="H381" s="76"/>
      <c r="I381" s="50" t="str">
        <f aca="false">IF(AND(C381="",B381="",D381=""),"",IF(C381="","⚠ Pick supplier",IF(ISNA(MATCH(C381,Suppliers!$B$7:$B$106,0)),"⚠ Supplier not in list",IF(B381="","⚠ Enter date",IF(N(D381)&lt;=0,"⚠ Enter amount",IF(AND(F381&lt;&gt;"",NOT(COUNTIFS(Bills!$D$8:$D$507,C381,Bills!$C$8:$C$507,F381)&gt;0)),"⚠ Bill not found – treated as on account",IF(F381="","✔ On account","✔")))))))</f>
        <v/>
      </c>
      <c r="J381" s="9" t="n">
        <f aca="false">IF(C381="",0,IF(F381="",N(D381),IF(COUNTIFS(Bills!$D$8:$D$507,C381,Bills!$C$8:$C$507,F381)&gt;0,0,N(D381))))</f>
        <v>0</v>
      </c>
    </row>
    <row r="382" customFormat="false" ht="15" hidden="false" customHeight="false" outlineLevel="0" collapsed="false">
      <c r="A382" s="40" t="str">
        <f aca="false">IF(C382="","",ROW()-7)</f>
        <v/>
      </c>
      <c r="B382" s="79"/>
      <c r="C382" s="76"/>
      <c r="D382" s="80"/>
      <c r="E382" s="78"/>
      <c r="F382" s="75"/>
      <c r="G382" s="75"/>
      <c r="H382" s="76"/>
      <c r="I382" s="50" t="str">
        <f aca="false">IF(AND(C382="",B382="",D382=""),"",IF(C382="","⚠ Pick supplier",IF(ISNA(MATCH(C382,Suppliers!$B$7:$B$106,0)),"⚠ Supplier not in list",IF(B382="","⚠ Enter date",IF(N(D382)&lt;=0,"⚠ Enter amount",IF(AND(F382&lt;&gt;"",NOT(COUNTIFS(Bills!$D$8:$D$507,C382,Bills!$C$8:$C$507,F382)&gt;0)),"⚠ Bill not found – treated as on account",IF(F382="","✔ On account","✔")))))))</f>
        <v/>
      </c>
      <c r="J382" s="9" t="n">
        <f aca="false">IF(C382="",0,IF(F382="",N(D382),IF(COUNTIFS(Bills!$D$8:$D$507,C382,Bills!$C$8:$C$507,F382)&gt;0,0,N(D382))))</f>
        <v>0</v>
      </c>
    </row>
    <row r="383" customFormat="false" ht="15" hidden="false" customHeight="false" outlineLevel="0" collapsed="false">
      <c r="A383" s="40" t="str">
        <f aca="false">IF(C383="","",ROW()-7)</f>
        <v/>
      </c>
      <c r="B383" s="79"/>
      <c r="C383" s="76"/>
      <c r="D383" s="80"/>
      <c r="E383" s="78"/>
      <c r="F383" s="75"/>
      <c r="G383" s="75"/>
      <c r="H383" s="76"/>
      <c r="I383" s="50" t="str">
        <f aca="false">IF(AND(C383="",B383="",D383=""),"",IF(C383="","⚠ Pick supplier",IF(ISNA(MATCH(C383,Suppliers!$B$7:$B$106,0)),"⚠ Supplier not in list",IF(B383="","⚠ Enter date",IF(N(D383)&lt;=0,"⚠ Enter amount",IF(AND(F383&lt;&gt;"",NOT(COUNTIFS(Bills!$D$8:$D$507,C383,Bills!$C$8:$C$507,F383)&gt;0)),"⚠ Bill not found – treated as on account",IF(F383="","✔ On account","✔")))))))</f>
        <v/>
      </c>
      <c r="J383" s="9" t="n">
        <f aca="false">IF(C383="",0,IF(F383="",N(D383),IF(COUNTIFS(Bills!$D$8:$D$507,C383,Bills!$C$8:$C$507,F383)&gt;0,0,N(D383))))</f>
        <v>0</v>
      </c>
    </row>
    <row r="384" customFormat="false" ht="15" hidden="false" customHeight="false" outlineLevel="0" collapsed="false">
      <c r="A384" s="40" t="str">
        <f aca="false">IF(C384="","",ROW()-7)</f>
        <v/>
      </c>
      <c r="B384" s="79"/>
      <c r="C384" s="76"/>
      <c r="D384" s="80"/>
      <c r="E384" s="78"/>
      <c r="F384" s="75"/>
      <c r="G384" s="75"/>
      <c r="H384" s="76"/>
      <c r="I384" s="50" t="str">
        <f aca="false">IF(AND(C384="",B384="",D384=""),"",IF(C384="","⚠ Pick supplier",IF(ISNA(MATCH(C384,Suppliers!$B$7:$B$106,0)),"⚠ Supplier not in list",IF(B384="","⚠ Enter date",IF(N(D384)&lt;=0,"⚠ Enter amount",IF(AND(F384&lt;&gt;"",NOT(COUNTIFS(Bills!$D$8:$D$507,C384,Bills!$C$8:$C$507,F384)&gt;0)),"⚠ Bill not found – treated as on account",IF(F384="","✔ On account","✔")))))))</f>
        <v/>
      </c>
      <c r="J384" s="9" t="n">
        <f aca="false">IF(C384="",0,IF(F384="",N(D384),IF(COUNTIFS(Bills!$D$8:$D$507,C384,Bills!$C$8:$C$507,F384)&gt;0,0,N(D384))))</f>
        <v>0</v>
      </c>
    </row>
    <row r="385" customFormat="false" ht="15" hidden="false" customHeight="false" outlineLevel="0" collapsed="false">
      <c r="A385" s="40" t="str">
        <f aca="false">IF(C385="","",ROW()-7)</f>
        <v/>
      </c>
      <c r="B385" s="79"/>
      <c r="C385" s="76"/>
      <c r="D385" s="80"/>
      <c r="E385" s="78"/>
      <c r="F385" s="75"/>
      <c r="G385" s="75"/>
      <c r="H385" s="76"/>
      <c r="I385" s="50" t="str">
        <f aca="false">IF(AND(C385="",B385="",D385=""),"",IF(C385="","⚠ Pick supplier",IF(ISNA(MATCH(C385,Suppliers!$B$7:$B$106,0)),"⚠ Supplier not in list",IF(B385="","⚠ Enter date",IF(N(D385)&lt;=0,"⚠ Enter amount",IF(AND(F385&lt;&gt;"",NOT(COUNTIFS(Bills!$D$8:$D$507,C385,Bills!$C$8:$C$507,F385)&gt;0)),"⚠ Bill not found – treated as on account",IF(F385="","✔ On account","✔")))))))</f>
        <v/>
      </c>
      <c r="J385" s="9" t="n">
        <f aca="false">IF(C385="",0,IF(F385="",N(D385),IF(COUNTIFS(Bills!$D$8:$D$507,C385,Bills!$C$8:$C$507,F385)&gt;0,0,N(D385))))</f>
        <v>0</v>
      </c>
    </row>
    <row r="386" customFormat="false" ht="15" hidden="false" customHeight="false" outlineLevel="0" collapsed="false">
      <c r="A386" s="40" t="str">
        <f aca="false">IF(C386="","",ROW()-7)</f>
        <v/>
      </c>
      <c r="B386" s="79"/>
      <c r="C386" s="76"/>
      <c r="D386" s="80"/>
      <c r="E386" s="78"/>
      <c r="F386" s="75"/>
      <c r="G386" s="75"/>
      <c r="H386" s="76"/>
      <c r="I386" s="50" t="str">
        <f aca="false">IF(AND(C386="",B386="",D386=""),"",IF(C386="","⚠ Pick supplier",IF(ISNA(MATCH(C386,Suppliers!$B$7:$B$106,0)),"⚠ Supplier not in list",IF(B386="","⚠ Enter date",IF(N(D386)&lt;=0,"⚠ Enter amount",IF(AND(F386&lt;&gt;"",NOT(COUNTIFS(Bills!$D$8:$D$507,C386,Bills!$C$8:$C$507,F386)&gt;0)),"⚠ Bill not found – treated as on account",IF(F386="","✔ On account","✔")))))))</f>
        <v/>
      </c>
      <c r="J386" s="9" t="n">
        <f aca="false">IF(C386="",0,IF(F386="",N(D386),IF(COUNTIFS(Bills!$D$8:$D$507,C386,Bills!$C$8:$C$507,F386)&gt;0,0,N(D386))))</f>
        <v>0</v>
      </c>
    </row>
    <row r="387" customFormat="false" ht="15" hidden="false" customHeight="false" outlineLevel="0" collapsed="false">
      <c r="A387" s="40" t="str">
        <f aca="false">IF(C387="","",ROW()-7)</f>
        <v/>
      </c>
      <c r="B387" s="79"/>
      <c r="C387" s="76"/>
      <c r="D387" s="80"/>
      <c r="E387" s="78"/>
      <c r="F387" s="75"/>
      <c r="G387" s="75"/>
      <c r="H387" s="76"/>
      <c r="I387" s="50" t="str">
        <f aca="false">IF(AND(C387="",B387="",D387=""),"",IF(C387="","⚠ Pick supplier",IF(ISNA(MATCH(C387,Suppliers!$B$7:$B$106,0)),"⚠ Supplier not in list",IF(B387="","⚠ Enter date",IF(N(D387)&lt;=0,"⚠ Enter amount",IF(AND(F387&lt;&gt;"",NOT(COUNTIFS(Bills!$D$8:$D$507,C387,Bills!$C$8:$C$507,F387)&gt;0)),"⚠ Bill not found – treated as on account",IF(F387="","✔ On account","✔")))))))</f>
        <v/>
      </c>
      <c r="J387" s="9" t="n">
        <f aca="false">IF(C387="",0,IF(F387="",N(D387),IF(COUNTIFS(Bills!$D$8:$D$507,C387,Bills!$C$8:$C$507,F387)&gt;0,0,N(D387))))</f>
        <v>0</v>
      </c>
    </row>
    <row r="388" customFormat="false" ht="15" hidden="false" customHeight="false" outlineLevel="0" collapsed="false">
      <c r="A388" s="40" t="str">
        <f aca="false">IF(C388="","",ROW()-7)</f>
        <v/>
      </c>
      <c r="B388" s="79"/>
      <c r="C388" s="76"/>
      <c r="D388" s="80"/>
      <c r="E388" s="78"/>
      <c r="F388" s="75"/>
      <c r="G388" s="75"/>
      <c r="H388" s="76"/>
      <c r="I388" s="50" t="str">
        <f aca="false">IF(AND(C388="",B388="",D388=""),"",IF(C388="","⚠ Pick supplier",IF(ISNA(MATCH(C388,Suppliers!$B$7:$B$106,0)),"⚠ Supplier not in list",IF(B388="","⚠ Enter date",IF(N(D388)&lt;=0,"⚠ Enter amount",IF(AND(F388&lt;&gt;"",NOT(COUNTIFS(Bills!$D$8:$D$507,C388,Bills!$C$8:$C$507,F388)&gt;0)),"⚠ Bill not found – treated as on account",IF(F388="","✔ On account","✔")))))))</f>
        <v/>
      </c>
      <c r="J388" s="9" t="n">
        <f aca="false">IF(C388="",0,IF(F388="",N(D388),IF(COUNTIFS(Bills!$D$8:$D$507,C388,Bills!$C$8:$C$507,F388)&gt;0,0,N(D388))))</f>
        <v>0</v>
      </c>
    </row>
    <row r="389" customFormat="false" ht="15" hidden="false" customHeight="false" outlineLevel="0" collapsed="false">
      <c r="A389" s="40" t="str">
        <f aca="false">IF(C389="","",ROW()-7)</f>
        <v/>
      </c>
      <c r="B389" s="79"/>
      <c r="C389" s="76"/>
      <c r="D389" s="80"/>
      <c r="E389" s="78"/>
      <c r="F389" s="75"/>
      <c r="G389" s="75"/>
      <c r="H389" s="76"/>
      <c r="I389" s="50" t="str">
        <f aca="false">IF(AND(C389="",B389="",D389=""),"",IF(C389="","⚠ Pick supplier",IF(ISNA(MATCH(C389,Suppliers!$B$7:$B$106,0)),"⚠ Supplier not in list",IF(B389="","⚠ Enter date",IF(N(D389)&lt;=0,"⚠ Enter amount",IF(AND(F389&lt;&gt;"",NOT(COUNTIFS(Bills!$D$8:$D$507,C389,Bills!$C$8:$C$507,F389)&gt;0)),"⚠ Bill not found – treated as on account",IF(F389="","✔ On account","✔")))))))</f>
        <v/>
      </c>
      <c r="J389" s="9" t="n">
        <f aca="false">IF(C389="",0,IF(F389="",N(D389),IF(COUNTIFS(Bills!$D$8:$D$507,C389,Bills!$C$8:$C$507,F389)&gt;0,0,N(D389))))</f>
        <v>0</v>
      </c>
    </row>
    <row r="390" customFormat="false" ht="15" hidden="false" customHeight="false" outlineLevel="0" collapsed="false">
      <c r="A390" s="40" t="str">
        <f aca="false">IF(C390="","",ROW()-7)</f>
        <v/>
      </c>
      <c r="B390" s="79"/>
      <c r="C390" s="76"/>
      <c r="D390" s="80"/>
      <c r="E390" s="78"/>
      <c r="F390" s="75"/>
      <c r="G390" s="75"/>
      <c r="H390" s="76"/>
      <c r="I390" s="50" t="str">
        <f aca="false">IF(AND(C390="",B390="",D390=""),"",IF(C390="","⚠ Pick supplier",IF(ISNA(MATCH(C390,Suppliers!$B$7:$B$106,0)),"⚠ Supplier not in list",IF(B390="","⚠ Enter date",IF(N(D390)&lt;=0,"⚠ Enter amount",IF(AND(F390&lt;&gt;"",NOT(COUNTIFS(Bills!$D$8:$D$507,C390,Bills!$C$8:$C$507,F390)&gt;0)),"⚠ Bill not found – treated as on account",IF(F390="","✔ On account","✔")))))))</f>
        <v/>
      </c>
      <c r="J390" s="9" t="n">
        <f aca="false">IF(C390="",0,IF(F390="",N(D390),IF(COUNTIFS(Bills!$D$8:$D$507,C390,Bills!$C$8:$C$507,F390)&gt;0,0,N(D390))))</f>
        <v>0</v>
      </c>
    </row>
    <row r="391" customFormat="false" ht="15" hidden="false" customHeight="false" outlineLevel="0" collapsed="false">
      <c r="A391" s="40" t="str">
        <f aca="false">IF(C391="","",ROW()-7)</f>
        <v/>
      </c>
      <c r="B391" s="79"/>
      <c r="C391" s="76"/>
      <c r="D391" s="80"/>
      <c r="E391" s="78"/>
      <c r="F391" s="75"/>
      <c r="G391" s="75"/>
      <c r="H391" s="76"/>
      <c r="I391" s="50" t="str">
        <f aca="false">IF(AND(C391="",B391="",D391=""),"",IF(C391="","⚠ Pick supplier",IF(ISNA(MATCH(C391,Suppliers!$B$7:$B$106,0)),"⚠ Supplier not in list",IF(B391="","⚠ Enter date",IF(N(D391)&lt;=0,"⚠ Enter amount",IF(AND(F391&lt;&gt;"",NOT(COUNTIFS(Bills!$D$8:$D$507,C391,Bills!$C$8:$C$507,F391)&gt;0)),"⚠ Bill not found – treated as on account",IF(F391="","✔ On account","✔")))))))</f>
        <v/>
      </c>
      <c r="J391" s="9" t="n">
        <f aca="false">IF(C391="",0,IF(F391="",N(D391),IF(COUNTIFS(Bills!$D$8:$D$507,C391,Bills!$C$8:$C$507,F391)&gt;0,0,N(D391))))</f>
        <v>0</v>
      </c>
    </row>
    <row r="392" customFormat="false" ht="15" hidden="false" customHeight="false" outlineLevel="0" collapsed="false">
      <c r="A392" s="40" t="str">
        <f aca="false">IF(C392="","",ROW()-7)</f>
        <v/>
      </c>
      <c r="B392" s="79"/>
      <c r="C392" s="76"/>
      <c r="D392" s="80"/>
      <c r="E392" s="78"/>
      <c r="F392" s="75"/>
      <c r="G392" s="75"/>
      <c r="H392" s="76"/>
      <c r="I392" s="50" t="str">
        <f aca="false">IF(AND(C392="",B392="",D392=""),"",IF(C392="","⚠ Pick supplier",IF(ISNA(MATCH(C392,Suppliers!$B$7:$B$106,0)),"⚠ Supplier not in list",IF(B392="","⚠ Enter date",IF(N(D392)&lt;=0,"⚠ Enter amount",IF(AND(F392&lt;&gt;"",NOT(COUNTIFS(Bills!$D$8:$D$507,C392,Bills!$C$8:$C$507,F392)&gt;0)),"⚠ Bill not found – treated as on account",IF(F392="","✔ On account","✔")))))))</f>
        <v/>
      </c>
      <c r="J392" s="9" t="n">
        <f aca="false">IF(C392="",0,IF(F392="",N(D392),IF(COUNTIFS(Bills!$D$8:$D$507,C392,Bills!$C$8:$C$507,F392)&gt;0,0,N(D392))))</f>
        <v>0</v>
      </c>
    </row>
    <row r="393" customFormat="false" ht="15" hidden="false" customHeight="false" outlineLevel="0" collapsed="false">
      <c r="A393" s="40" t="str">
        <f aca="false">IF(C393="","",ROW()-7)</f>
        <v/>
      </c>
      <c r="B393" s="79"/>
      <c r="C393" s="76"/>
      <c r="D393" s="80"/>
      <c r="E393" s="78"/>
      <c r="F393" s="75"/>
      <c r="G393" s="75"/>
      <c r="H393" s="76"/>
      <c r="I393" s="50" t="str">
        <f aca="false">IF(AND(C393="",B393="",D393=""),"",IF(C393="","⚠ Pick supplier",IF(ISNA(MATCH(C393,Suppliers!$B$7:$B$106,0)),"⚠ Supplier not in list",IF(B393="","⚠ Enter date",IF(N(D393)&lt;=0,"⚠ Enter amount",IF(AND(F393&lt;&gt;"",NOT(COUNTIFS(Bills!$D$8:$D$507,C393,Bills!$C$8:$C$507,F393)&gt;0)),"⚠ Bill not found – treated as on account",IF(F393="","✔ On account","✔")))))))</f>
        <v/>
      </c>
      <c r="J393" s="9" t="n">
        <f aca="false">IF(C393="",0,IF(F393="",N(D393),IF(COUNTIFS(Bills!$D$8:$D$507,C393,Bills!$C$8:$C$507,F393)&gt;0,0,N(D393))))</f>
        <v>0</v>
      </c>
    </row>
    <row r="394" customFormat="false" ht="15" hidden="false" customHeight="false" outlineLevel="0" collapsed="false">
      <c r="A394" s="40" t="str">
        <f aca="false">IF(C394="","",ROW()-7)</f>
        <v/>
      </c>
      <c r="B394" s="79"/>
      <c r="C394" s="76"/>
      <c r="D394" s="80"/>
      <c r="E394" s="78"/>
      <c r="F394" s="75"/>
      <c r="G394" s="75"/>
      <c r="H394" s="76"/>
      <c r="I394" s="50" t="str">
        <f aca="false">IF(AND(C394="",B394="",D394=""),"",IF(C394="","⚠ Pick supplier",IF(ISNA(MATCH(C394,Suppliers!$B$7:$B$106,0)),"⚠ Supplier not in list",IF(B394="","⚠ Enter date",IF(N(D394)&lt;=0,"⚠ Enter amount",IF(AND(F394&lt;&gt;"",NOT(COUNTIFS(Bills!$D$8:$D$507,C394,Bills!$C$8:$C$507,F394)&gt;0)),"⚠ Bill not found – treated as on account",IF(F394="","✔ On account","✔")))))))</f>
        <v/>
      </c>
      <c r="J394" s="9" t="n">
        <f aca="false">IF(C394="",0,IF(F394="",N(D394),IF(COUNTIFS(Bills!$D$8:$D$507,C394,Bills!$C$8:$C$507,F394)&gt;0,0,N(D394))))</f>
        <v>0</v>
      </c>
    </row>
    <row r="395" customFormat="false" ht="15" hidden="false" customHeight="false" outlineLevel="0" collapsed="false">
      <c r="A395" s="40" t="str">
        <f aca="false">IF(C395="","",ROW()-7)</f>
        <v/>
      </c>
      <c r="B395" s="79"/>
      <c r="C395" s="76"/>
      <c r="D395" s="80"/>
      <c r="E395" s="78"/>
      <c r="F395" s="75"/>
      <c r="G395" s="75"/>
      <c r="H395" s="76"/>
      <c r="I395" s="50" t="str">
        <f aca="false">IF(AND(C395="",B395="",D395=""),"",IF(C395="","⚠ Pick supplier",IF(ISNA(MATCH(C395,Suppliers!$B$7:$B$106,0)),"⚠ Supplier not in list",IF(B395="","⚠ Enter date",IF(N(D395)&lt;=0,"⚠ Enter amount",IF(AND(F395&lt;&gt;"",NOT(COUNTIFS(Bills!$D$8:$D$507,C395,Bills!$C$8:$C$507,F395)&gt;0)),"⚠ Bill not found – treated as on account",IF(F395="","✔ On account","✔")))))))</f>
        <v/>
      </c>
      <c r="J395" s="9" t="n">
        <f aca="false">IF(C395="",0,IF(F395="",N(D395),IF(COUNTIFS(Bills!$D$8:$D$507,C395,Bills!$C$8:$C$507,F395)&gt;0,0,N(D395))))</f>
        <v>0</v>
      </c>
    </row>
    <row r="396" customFormat="false" ht="15" hidden="false" customHeight="false" outlineLevel="0" collapsed="false">
      <c r="A396" s="40" t="str">
        <f aca="false">IF(C396="","",ROW()-7)</f>
        <v/>
      </c>
      <c r="B396" s="79"/>
      <c r="C396" s="76"/>
      <c r="D396" s="80"/>
      <c r="E396" s="78"/>
      <c r="F396" s="75"/>
      <c r="G396" s="75"/>
      <c r="H396" s="76"/>
      <c r="I396" s="50" t="str">
        <f aca="false">IF(AND(C396="",B396="",D396=""),"",IF(C396="","⚠ Pick supplier",IF(ISNA(MATCH(C396,Suppliers!$B$7:$B$106,0)),"⚠ Supplier not in list",IF(B396="","⚠ Enter date",IF(N(D396)&lt;=0,"⚠ Enter amount",IF(AND(F396&lt;&gt;"",NOT(COUNTIFS(Bills!$D$8:$D$507,C396,Bills!$C$8:$C$507,F396)&gt;0)),"⚠ Bill not found – treated as on account",IF(F396="","✔ On account","✔")))))))</f>
        <v/>
      </c>
      <c r="J396" s="9" t="n">
        <f aca="false">IF(C396="",0,IF(F396="",N(D396),IF(COUNTIFS(Bills!$D$8:$D$507,C396,Bills!$C$8:$C$507,F396)&gt;0,0,N(D396))))</f>
        <v>0</v>
      </c>
    </row>
    <row r="397" customFormat="false" ht="15" hidden="false" customHeight="false" outlineLevel="0" collapsed="false">
      <c r="A397" s="40" t="str">
        <f aca="false">IF(C397="","",ROW()-7)</f>
        <v/>
      </c>
      <c r="B397" s="79"/>
      <c r="C397" s="76"/>
      <c r="D397" s="80"/>
      <c r="E397" s="78"/>
      <c r="F397" s="75"/>
      <c r="G397" s="75"/>
      <c r="H397" s="76"/>
      <c r="I397" s="50" t="str">
        <f aca="false">IF(AND(C397="",B397="",D397=""),"",IF(C397="","⚠ Pick supplier",IF(ISNA(MATCH(C397,Suppliers!$B$7:$B$106,0)),"⚠ Supplier not in list",IF(B397="","⚠ Enter date",IF(N(D397)&lt;=0,"⚠ Enter amount",IF(AND(F397&lt;&gt;"",NOT(COUNTIFS(Bills!$D$8:$D$507,C397,Bills!$C$8:$C$507,F397)&gt;0)),"⚠ Bill not found – treated as on account",IF(F397="","✔ On account","✔")))))))</f>
        <v/>
      </c>
      <c r="J397" s="9" t="n">
        <f aca="false">IF(C397="",0,IF(F397="",N(D397),IF(COUNTIFS(Bills!$D$8:$D$507,C397,Bills!$C$8:$C$507,F397)&gt;0,0,N(D397))))</f>
        <v>0</v>
      </c>
    </row>
    <row r="398" customFormat="false" ht="15" hidden="false" customHeight="false" outlineLevel="0" collapsed="false">
      <c r="A398" s="40" t="str">
        <f aca="false">IF(C398="","",ROW()-7)</f>
        <v/>
      </c>
      <c r="B398" s="79"/>
      <c r="C398" s="76"/>
      <c r="D398" s="80"/>
      <c r="E398" s="78"/>
      <c r="F398" s="75"/>
      <c r="G398" s="75"/>
      <c r="H398" s="76"/>
      <c r="I398" s="50" t="str">
        <f aca="false">IF(AND(C398="",B398="",D398=""),"",IF(C398="","⚠ Pick supplier",IF(ISNA(MATCH(C398,Suppliers!$B$7:$B$106,0)),"⚠ Supplier not in list",IF(B398="","⚠ Enter date",IF(N(D398)&lt;=0,"⚠ Enter amount",IF(AND(F398&lt;&gt;"",NOT(COUNTIFS(Bills!$D$8:$D$507,C398,Bills!$C$8:$C$507,F398)&gt;0)),"⚠ Bill not found – treated as on account",IF(F398="","✔ On account","✔")))))))</f>
        <v/>
      </c>
      <c r="J398" s="9" t="n">
        <f aca="false">IF(C398="",0,IF(F398="",N(D398),IF(COUNTIFS(Bills!$D$8:$D$507,C398,Bills!$C$8:$C$507,F398)&gt;0,0,N(D398))))</f>
        <v>0</v>
      </c>
    </row>
    <row r="399" customFormat="false" ht="15" hidden="false" customHeight="false" outlineLevel="0" collapsed="false">
      <c r="A399" s="40" t="str">
        <f aca="false">IF(C399="","",ROW()-7)</f>
        <v/>
      </c>
      <c r="B399" s="79"/>
      <c r="C399" s="76"/>
      <c r="D399" s="80"/>
      <c r="E399" s="78"/>
      <c r="F399" s="75"/>
      <c r="G399" s="75"/>
      <c r="H399" s="76"/>
      <c r="I399" s="50" t="str">
        <f aca="false">IF(AND(C399="",B399="",D399=""),"",IF(C399="","⚠ Pick supplier",IF(ISNA(MATCH(C399,Suppliers!$B$7:$B$106,0)),"⚠ Supplier not in list",IF(B399="","⚠ Enter date",IF(N(D399)&lt;=0,"⚠ Enter amount",IF(AND(F399&lt;&gt;"",NOT(COUNTIFS(Bills!$D$8:$D$507,C399,Bills!$C$8:$C$507,F399)&gt;0)),"⚠ Bill not found – treated as on account",IF(F399="","✔ On account","✔")))))))</f>
        <v/>
      </c>
      <c r="J399" s="9" t="n">
        <f aca="false">IF(C399="",0,IF(F399="",N(D399),IF(COUNTIFS(Bills!$D$8:$D$507,C399,Bills!$C$8:$C$507,F399)&gt;0,0,N(D399))))</f>
        <v>0</v>
      </c>
    </row>
    <row r="400" customFormat="false" ht="15" hidden="false" customHeight="false" outlineLevel="0" collapsed="false">
      <c r="A400" s="40" t="str">
        <f aca="false">IF(C400="","",ROW()-7)</f>
        <v/>
      </c>
      <c r="B400" s="79"/>
      <c r="C400" s="76"/>
      <c r="D400" s="80"/>
      <c r="E400" s="78"/>
      <c r="F400" s="75"/>
      <c r="G400" s="75"/>
      <c r="H400" s="76"/>
      <c r="I400" s="50" t="str">
        <f aca="false">IF(AND(C400="",B400="",D400=""),"",IF(C400="","⚠ Pick supplier",IF(ISNA(MATCH(C400,Suppliers!$B$7:$B$106,0)),"⚠ Supplier not in list",IF(B400="","⚠ Enter date",IF(N(D400)&lt;=0,"⚠ Enter amount",IF(AND(F400&lt;&gt;"",NOT(COUNTIFS(Bills!$D$8:$D$507,C400,Bills!$C$8:$C$507,F400)&gt;0)),"⚠ Bill not found – treated as on account",IF(F400="","✔ On account","✔")))))))</f>
        <v/>
      </c>
      <c r="J400" s="9" t="n">
        <f aca="false">IF(C400="",0,IF(F400="",N(D400),IF(COUNTIFS(Bills!$D$8:$D$507,C400,Bills!$C$8:$C$507,F400)&gt;0,0,N(D400))))</f>
        <v>0</v>
      </c>
    </row>
    <row r="401" customFormat="false" ht="15" hidden="false" customHeight="false" outlineLevel="0" collapsed="false">
      <c r="A401" s="40" t="str">
        <f aca="false">IF(C401="","",ROW()-7)</f>
        <v/>
      </c>
      <c r="B401" s="79"/>
      <c r="C401" s="76"/>
      <c r="D401" s="80"/>
      <c r="E401" s="78"/>
      <c r="F401" s="75"/>
      <c r="G401" s="75"/>
      <c r="H401" s="76"/>
      <c r="I401" s="50" t="str">
        <f aca="false">IF(AND(C401="",B401="",D401=""),"",IF(C401="","⚠ Pick supplier",IF(ISNA(MATCH(C401,Suppliers!$B$7:$B$106,0)),"⚠ Supplier not in list",IF(B401="","⚠ Enter date",IF(N(D401)&lt;=0,"⚠ Enter amount",IF(AND(F401&lt;&gt;"",NOT(COUNTIFS(Bills!$D$8:$D$507,C401,Bills!$C$8:$C$507,F401)&gt;0)),"⚠ Bill not found – treated as on account",IF(F401="","✔ On account","✔")))))))</f>
        <v/>
      </c>
      <c r="J401" s="9" t="n">
        <f aca="false">IF(C401="",0,IF(F401="",N(D401),IF(COUNTIFS(Bills!$D$8:$D$507,C401,Bills!$C$8:$C$507,F401)&gt;0,0,N(D401))))</f>
        <v>0</v>
      </c>
    </row>
    <row r="402" customFormat="false" ht="15" hidden="false" customHeight="false" outlineLevel="0" collapsed="false">
      <c r="A402" s="40" t="str">
        <f aca="false">IF(C402="","",ROW()-7)</f>
        <v/>
      </c>
      <c r="B402" s="79"/>
      <c r="C402" s="76"/>
      <c r="D402" s="80"/>
      <c r="E402" s="78"/>
      <c r="F402" s="75"/>
      <c r="G402" s="75"/>
      <c r="H402" s="76"/>
      <c r="I402" s="50" t="str">
        <f aca="false">IF(AND(C402="",B402="",D402=""),"",IF(C402="","⚠ Pick supplier",IF(ISNA(MATCH(C402,Suppliers!$B$7:$B$106,0)),"⚠ Supplier not in list",IF(B402="","⚠ Enter date",IF(N(D402)&lt;=0,"⚠ Enter amount",IF(AND(F402&lt;&gt;"",NOT(COUNTIFS(Bills!$D$8:$D$507,C402,Bills!$C$8:$C$507,F402)&gt;0)),"⚠ Bill not found – treated as on account",IF(F402="","✔ On account","✔")))))))</f>
        <v/>
      </c>
      <c r="J402" s="9" t="n">
        <f aca="false">IF(C402="",0,IF(F402="",N(D402),IF(COUNTIFS(Bills!$D$8:$D$507,C402,Bills!$C$8:$C$507,F402)&gt;0,0,N(D402))))</f>
        <v>0</v>
      </c>
    </row>
    <row r="403" customFormat="false" ht="15" hidden="false" customHeight="false" outlineLevel="0" collapsed="false">
      <c r="A403" s="40" t="str">
        <f aca="false">IF(C403="","",ROW()-7)</f>
        <v/>
      </c>
      <c r="B403" s="79"/>
      <c r="C403" s="76"/>
      <c r="D403" s="80"/>
      <c r="E403" s="78"/>
      <c r="F403" s="75"/>
      <c r="G403" s="75"/>
      <c r="H403" s="76"/>
      <c r="I403" s="50" t="str">
        <f aca="false">IF(AND(C403="",B403="",D403=""),"",IF(C403="","⚠ Pick supplier",IF(ISNA(MATCH(C403,Suppliers!$B$7:$B$106,0)),"⚠ Supplier not in list",IF(B403="","⚠ Enter date",IF(N(D403)&lt;=0,"⚠ Enter amount",IF(AND(F403&lt;&gt;"",NOT(COUNTIFS(Bills!$D$8:$D$507,C403,Bills!$C$8:$C$507,F403)&gt;0)),"⚠ Bill not found – treated as on account",IF(F403="","✔ On account","✔")))))))</f>
        <v/>
      </c>
      <c r="J403" s="9" t="n">
        <f aca="false">IF(C403="",0,IF(F403="",N(D403),IF(COUNTIFS(Bills!$D$8:$D$507,C403,Bills!$C$8:$C$507,F403)&gt;0,0,N(D403))))</f>
        <v>0</v>
      </c>
    </row>
    <row r="404" customFormat="false" ht="15" hidden="false" customHeight="false" outlineLevel="0" collapsed="false">
      <c r="A404" s="40" t="str">
        <f aca="false">IF(C404="","",ROW()-7)</f>
        <v/>
      </c>
      <c r="B404" s="79"/>
      <c r="C404" s="76"/>
      <c r="D404" s="80"/>
      <c r="E404" s="78"/>
      <c r="F404" s="75"/>
      <c r="G404" s="75"/>
      <c r="H404" s="76"/>
      <c r="I404" s="50" t="str">
        <f aca="false">IF(AND(C404="",B404="",D404=""),"",IF(C404="","⚠ Pick supplier",IF(ISNA(MATCH(C404,Suppliers!$B$7:$B$106,0)),"⚠ Supplier not in list",IF(B404="","⚠ Enter date",IF(N(D404)&lt;=0,"⚠ Enter amount",IF(AND(F404&lt;&gt;"",NOT(COUNTIFS(Bills!$D$8:$D$507,C404,Bills!$C$8:$C$507,F404)&gt;0)),"⚠ Bill not found – treated as on account",IF(F404="","✔ On account","✔")))))))</f>
        <v/>
      </c>
      <c r="J404" s="9" t="n">
        <f aca="false">IF(C404="",0,IF(F404="",N(D404),IF(COUNTIFS(Bills!$D$8:$D$507,C404,Bills!$C$8:$C$507,F404)&gt;0,0,N(D404))))</f>
        <v>0</v>
      </c>
    </row>
    <row r="405" customFormat="false" ht="15" hidden="false" customHeight="false" outlineLevel="0" collapsed="false">
      <c r="A405" s="40" t="str">
        <f aca="false">IF(C405="","",ROW()-7)</f>
        <v/>
      </c>
      <c r="B405" s="79"/>
      <c r="C405" s="76"/>
      <c r="D405" s="80"/>
      <c r="E405" s="78"/>
      <c r="F405" s="75"/>
      <c r="G405" s="75"/>
      <c r="H405" s="76"/>
      <c r="I405" s="50" t="str">
        <f aca="false">IF(AND(C405="",B405="",D405=""),"",IF(C405="","⚠ Pick supplier",IF(ISNA(MATCH(C405,Suppliers!$B$7:$B$106,0)),"⚠ Supplier not in list",IF(B405="","⚠ Enter date",IF(N(D405)&lt;=0,"⚠ Enter amount",IF(AND(F405&lt;&gt;"",NOT(COUNTIFS(Bills!$D$8:$D$507,C405,Bills!$C$8:$C$507,F405)&gt;0)),"⚠ Bill not found – treated as on account",IF(F405="","✔ On account","✔")))))))</f>
        <v/>
      </c>
      <c r="J405" s="9" t="n">
        <f aca="false">IF(C405="",0,IF(F405="",N(D405),IF(COUNTIFS(Bills!$D$8:$D$507,C405,Bills!$C$8:$C$507,F405)&gt;0,0,N(D405))))</f>
        <v>0</v>
      </c>
    </row>
    <row r="406" customFormat="false" ht="15" hidden="false" customHeight="false" outlineLevel="0" collapsed="false">
      <c r="A406" s="40" t="str">
        <f aca="false">IF(C406="","",ROW()-7)</f>
        <v/>
      </c>
      <c r="B406" s="79"/>
      <c r="C406" s="76"/>
      <c r="D406" s="80"/>
      <c r="E406" s="78"/>
      <c r="F406" s="75"/>
      <c r="G406" s="75"/>
      <c r="H406" s="76"/>
      <c r="I406" s="50" t="str">
        <f aca="false">IF(AND(C406="",B406="",D406=""),"",IF(C406="","⚠ Pick supplier",IF(ISNA(MATCH(C406,Suppliers!$B$7:$B$106,0)),"⚠ Supplier not in list",IF(B406="","⚠ Enter date",IF(N(D406)&lt;=0,"⚠ Enter amount",IF(AND(F406&lt;&gt;"",NOT(COUNTIFS(Bills!$D$8:$D$507,C406,Bills!$C$8:$C$507,F406)&gt;0)),"⚠ Bill not found – treated as on account",IF(F406="","✔ On account","✔")))))))</f>
        <v/>
      </c>
      <c r="J406" s="9" t="n">
        <f aca="false">IF(C406="",0,IF(F406="",N(D406),IF(COUNTIFS(Bills!$D$8:$D$507,C406,Bills!$C$8:$C$507,F406)&gt;0,0,N(D406))))</f>
        <v>0</v>
      </c>
    </row>
    <row r="407" customFormat="false" ht="15" hidden="false" customHeight="false" outlineLevel="0" collapsed="false">
      <c r="A407" s="40" t="str">
        <f aca="false">IF(C407="","",ROW()-7)</f>
        <v/>
      </c>
      <c r="B407" s="79"/>
      <c r="C407" s="76"/>
      <c r="D407" s="80"/>
      <c r="E407" s="78"/>
      <c r="F407" s="75"/>
      <c r="G407" s="75"/>
      <c r="H407" s="76"/>
      <c r="I407" s="50" t="str">
        <f aca="false">IF(AND(C407="",B407="",D407=""),"",IF(C407="","⚠ Pick supplier",IF(ISNA(MATCH(C407,Suppliers!$B$7:$B$106,0)),"⚠ Supplier not in list",IF(B407="","⚠ Enter date",IF(N(D407)&lt;=0,"⚠ Enter amount",IF(AND(F407&lt;&gt;"",NOT(COUNTIFS(Bills!$D$8:$D$507,C407,Bills!$C$8:$C$507,F407)&gt;0)),"⚠ Bill not found – treated as on account",IF(F407="","✔ On account","✔")))))))</f>
        <v/>
      </c>
      <c r="J407" s="9" t="n">
        <f aca="false">IF(C407="",0,IF(F407="",N(D407),IF(COUNTIFS(Bills!$D$8:$D$507,C407,Bills!$C$8:$C$507,F407)&gt;0,0,N(D407))))</f>
        <v>0</v>
      </c>
    </row>
    <row r="408" customFormat="false" ht="15" hidden="false" customHeight="false" outlineLevel="0" collapsed="false">
      <c r="A408" s="40" t="str">
        <f aca="false">IF(C408="","",ROW()-7)</f>
        <v/>
      </c>
      <c r="B408" s="79"/>
      <c r="C408" s="76"/>
      <c r="D408" s="80"/>
      <c r="E408" s="78"/>
      <c r="F408" s="75"/>
      <c r="G408" s="75"/>
      <c r="H408" s="76"/>
      <c r="I408" s="50" t="str">
        <f aca="false">IF(AND(C408="",B408="",D408=""),"",IF(C408="","⚠ Pick supplier",IF(ISNA(MATCH(C408,Suppliers!$B$7:$B$106,0)),"⚠ Supplier not in list",IF(B408="","⚠ Enter date",IF(N(D408)&lt;=0,"⚠ Enter amount",IF(AND(F408&lt;&gt;"",NOT(COUNTIFS(Bills!$D$8:$D$507,C408,Bills!$C$8:$C$507,F408)&gt;0)),"⚠ Bill not found – treated as on account",IF(F408="","✔ On account","✔")))))))</f>
        <v/>
      </c>
      <c r="J408" s="9" t="n">
        <f aca="false">IF(C408="",0,IF(F408="",N(D408),IF(COUNTIFS(Bills!$D$8:$D$507,C408,Bills!$C$8:$C$507,F408)&gt;0,0,N(D408))))</f>
        <v>0</v>
      </c>
    </row>
    <row r="409" customFormat="false" ht="15" hidden="false" customHeight="false" outlineLevel="0" collapsed="false">
      <c r="A409" s="40" t="str">
        <f aca="false">IF(C409="","",ROW()-7)</f>
        <v/>
      </c>
      <c r="B409" s="79"/>
      <c r="C409" s="76"/>
      <c r="D409" s="80"/>
      <c r="E409" s="78"/>
      <c r="F409" s="75"/>
      <c r="G409" s="75"/>
      <c r="H409" s="76"/>
      <c r="I409" s="50" t="str">
        <f aca="false">IF(AND(C409="",B409="",D409=""),"",IF(C409="","⚠ Pick supplier",IF(ISNA(MATCH(C409,Suppliers!$B$7:$B$106,0)),"⚠ Supplier not in list",IF(B409="","⚠ Enter date",IF(N(D409)&lt;=0,"⚠ Enter amount",IF(AND(F409&lt;&gt;"",NOT(COUNTIFS(Bills!$D$8:$D$507,C409,Bills!$C$8:$C$507,F409)&gt;0)),"⚠ Bill not found – treated as on account",IF(F409="","✔ On account","✔")))))))</f>
        <v/>
      </c>
      <c r="J409" s="9" t="n">
        <f aca="false">IF(C409="",0,IF(F409="",N(D409),IF(COUNTIFS(Bills!$D$8:$D$507,C409,Bills!$C$8:$C$507,F409)&gt;0,0,N(D409))))</f>
        <v>0</v>
      </c>
    </row>
    <row r="410" customFormat="false" ht="15" hidden="false" customHeight="false" outlineLevel="0" collapsed="false">
      <c r="A410" s="40" t="str">
        <f aca="false">IF(C410="","",ROW()-7)</f>
        <v/>
      </c>
      <c r="B410" s="79"/>
      <c r="C410" s="76"/>
      <c r="D410" s="80"/>
      <c r="E410" s="78"/>
      <c r="F410" s="75"/>
      <c r="G410" s="75"/>
      <c r="H410" s="76"/>
      <c r="I410" s="50" t="str">
        <f aca="false">IF(AND(C410="",B410="",D410=""),"",IF(C410="","⚠ Pick supplier",IF(ISNA(MATCH(C410,Suppliers!$B$7:$B$106,0)),"⚠ Supplier not in list",IF(B410="","⚠ Enter date",IF(N(D410)&lt;=0,"⚠ Enter amount",IF(AND(F410&lt;&gt;"",NOT(COUNTIFS(Bills!$D$8:$D$507,C410,Bills!$C$8:$C$507,F410)&gt;0)),"⚠ Bill not found – treated as on account",IF(F410="","✔ On account","✔")))))))</f>
        <v/>
      </c>
      <c r="J410" s="9" t="n">
        <f aca="false">IF(C410="",0,IF(F410="",N(D410),IF(COUNTIFS(Bills!$D$8:$D$507,C410,Bills!$C$8:$C$507,F410)&gt;0,0,N(D410))))</f>
        <v>0</v>
      </c>
    </row>
    <row r="411" customFormat="false" ht="15" hidden="false" customHeight="false" outlineLevel="0" collapsed="false">
      <c r="A411" s="40" t="str">
        <f aca="false">IF(C411="","",ROW()-7)</f>
        <v/>
      </c>
      <c r="B411" s="79"/>
      <c r="C411" s="76"/>
      <c r="D411" s="80"/>
      <c r="E411" s="78"/>
      <c r="F411" s="75"/>
      <c r="G411" s="75"/>
      <c r="H411" s="76"/>
      <c r="I411" s="50" t="str">
        <f aca="false">IF(AND(C411="",B411="",D411=""),"",IF(C411="","⚠ Pick supplier",IF(ISNA(MATCH(C411,Suppliers!$B$7:$B$106,0)),"⚠ Supplier not in list",IF(B411="","⚠ Enter date",IF(N(D411)&lt;=0,"⚠ Enter amount",IF(AND(F411&lt;&gt;"",NOT(COUNTIFS(Bills!$D$8:$D$507,C411,Bills!$C$8:$C$507,F411)&gt;0)),"⚠ Bill not found – treated as on account",IF(F411="","✔ On account","✔")))))))</f>
        <v/>
      </c>
      <c r="J411" s="9" t="n">
        <f aca="false">IF(C411="",0,IF(F411="",N(D411),IF(COUNTIFS(Bills!$D$8:$D$507,C411,Bills!$C$8:$C$507,F411)&gt;0,0,N(D411))))</f>
        <v>0</v>
      </c>
    </row>
    <row r="412" customFormat="false" ht="15" hidden="false" customHeight="false" outlineLevel="0" collapsed="false">
      <c r="A412" s="40" t="str">
        <f aca="false">IF(C412="","",ROW()-7)</f>
        <v/>
      </c>
      <c r="B412" s="79"/>
      <c r="C412" s="76"/>
      <c r="D412" s="80"/>
      <c r="E412" s="78"/>
      <c r="F412" s="75"/>
      <c r="G412" s="75"/>
      <c r="H412" s="76"/>
      <c r="I412" s="50" t="str">
        <f aca="false">IF(AND(C412="",B412="",D412=""),"",IF(C412="","⚠ Pick supplier",IF(ISNA(MATCH(C412,Suppliers!$B$7:$B$106,0)),"⚠ Supplier not in list",IF(B412="","⚠ Enter date",IF(N(D412)&lt;=0,"⚠ Enter amount",IF(AND(F412&lt;&gt;"",NOT(COUNTIFS(Bills!$D$8:$D$507,C412,Bills!$C$8:$C$507,F412)&gt;0)),"⚠ Bill not found – treated as on account",IF(F412="","✔ On account","✔")))))))</f>
        <v/>
      </c>
      <c r="J412" s="9" t="n">
        <f aca="false">IF(C412="",0,IF(F412="",N(D412),IF(COUNTIFS(Bills!$D$8:$D$507,C412,Bills!$C$8:$C$507,F412)&gt;0,0,N(D412))))</f>
        <v>0</v>
      </c>
    </row>
    <row r="413" customFormat="false" ht="15" hidden="false" customHeight="false" outlineLevel="0" collapsed="false">
      <c r="A413" s="40" t="str">
        <f aca="false">IF(C413="","",ROW()-7)</f>
        <v/>
      </c>
      <c r="B413" s="79"/>
      <c r="C413" s="76"/>
      <c r="D413" s="80"/>
      <c r="E413" s="78"/>
      <c r="F413" s="75"/>
      <c r="G413" s="75"/>
      <c r="H413" s="76"/>
      <c r="I413" s="50" t="str">
        <f aca="false">IF(AND(C413="",B413="",D413=""),"",IF(C413="","⚠ Pick supplier",IF(ISNA(MATCH(C413,Suppliers!$B$7:$B$106,0)),"⚠ Supplier not in list",IF(B413="","⚠ Enter date",IF(N(D413)&lt;=0,"⚠ Enter amount",IF(AND(F413&lt;&gt;"",NOT(COUNTIFS(Bills!$D$8:$D$507,C413,Bills!$C$8:$C$507,F413)&gt;0)),"⚠ Bill not found – treated as on account",IF(F413="","✔ On account","✔")))))))</f>
        <v/>
      </c>
      <c r="J413" s="9" t="n">
        <f aca="false">IF(C413="",0,IF(F413="",N(D413),IF(COUNTIFS(Bills!$D$8:$D$507,C413,Bills!$C$8:$C$507,F413)&gt;0,0,N(D413))))</f>
        <v>0</v>
      </c>
    </row>
    <row r="414" customFormat="false" ht="15" hidden="false" customHeight="false" outlineLevel="0" collapsed="false">
      <c r="A414" s="40" t="str">
        <f aca="false">IF(C414="","",ROW()-7)</f>
        <v/>
      </c>
      <c r="B414" s="79"/>
      <c r="C414" s="76"/>
      <c r="D414" s="80"/>
      <c r="E414" s="78"/>
      <c r="F414" s="75"/>
      <c r="G414" s="75"/>
      <c r="H414" s="76"/>
      <c r="I414" s="50" t="str">
        <f aca="false">IF(AND(C414="",B414="",D414=""),"",IF(C414="","⚠ Pick supplier",IF(ISNA(MATCH(C414,Suppliers!$B$7:$B$106,0)),"⚠ Supplier not in list",IF(B414="","⚠ Enter date",IF(N(D414)&lt;=0,"⚠ Enter amount",IF(AND(F414&lt;&gt;"",NOT(COUNTIFS(Bills!$D$8:$D$507,C414,Bills!$C$8:$C$507,F414)&gt;0)),"⚠ Bill not found – treated as on account",IF(F414="","✔ On account","✔")))))))</f>
        <v/>
      </c>
      <c r="J414" s="9" t="n">
        <f aca="false">IF(C414="",0,IF(F414="",N(D414),IF(COUNTIFS(Bills!$D$8:$D$507,C414,Bills!$C$8:$C$507,F414)&gt;0,0,N(D414))))</f>
        <v>0</v>
      </c>
    </row>
    <row r="415" customFormat="false" ht="15" hidden="false" customHeight="false" outlineLevel="0" collapsed="false">
      <c r="A415" s="40" t="str">
        <f aca="false">IF(C415="","",ROW()-7)</f>
        <v/>
      </c>
      <c r="B415" s="79"/>
      <c r="C415" s="76"/>
      <c r="D415" s="80"/>
      <c r="E415" s="78"/>
      <c r="F415" s="75"/>
      <c r="G415" s="75"/>
      <c r="H415" s="76"/>
      <c r="I415" s="50" t="str">
        <f aca="false">IF(AND(C415="",B415="",D415=""),"",IF(C415="","⚠ Pick supplier",IF(ISNA(MATCH(C415,Suppliers!$B$7:$B$106,0)),"⚠ Supplier not in list",IF(B415="","⚠ Enter date",IF(N(D415)&lt;=0,"⚠ Enter amount",IF(AND(F415&lt;&gt;"",NOT(COUNTIFS(Bills!$D$8:$D$507,C415,Bills!$C$8:$C$507,F415)&gt;0)),"⚠ Bill not found – treated as on account",IF(F415="","✔ On account","✔")))))))</f>
        <v/>
      </c>
      <c r="J415" s="9" t="n">
        <f aca="false">IF(C415="",0,IF(F415="",N(D415),IF(COUNTIFS(Bills!$D$8:$D$507,C415,Bills!$C$8:$C$507,F415)&gt;0,0,N(D415))))</f>
        <v>0</v>
      </c>
    </row>
    <row r="416" customFormat="false" ht="15" hidden="false" customHeight="false" outlineLevel="0" collapsed="false">
      <c r="A416" s="40" t="str">
        <f aca="false">IF(C416="","",ROW()-7)</f>
        <v/>
      </c>
      <c r="B416" s="79"/>
      <c r="C416" s="76"/>
      <c r="D416" s="80"/>
      <c r="E416" s="78"/>
      <c r="F416" s="75"/>
      <c r="G416" s="75"/>
      <c r="H416" s="76"/>
      <c r="I416" s="50" t="str">
        <f aca="false">IF(AND(C416="",B416="",D416=""),"",IF(C416="","⚠ Pick supplier",IF(ISNA(MATCH(C416,Suppliers!$B$7:$B$106,0)),"⚠ Supplier not in list",IF(B416="","⚠ Enter date",IF(N(D416)&lt;=0,"⚠ Enter amount",IF(AND(F416&lt;&gt;"",NOT(COUNTIFS(Bills!$D$8:$D$507,C416,Bills!$C$8:$C$507,F416)&gt;0)),"⚠ Bill not found – treated as on account",IF(F416="","✔ On account","✔")))))))</f>
        <v/>
      </c>
      <c r="J416" s="9" t="n">
        <f aca="false">IF(C416="",0,IF(F416="",N(D416),IF(COUNTIFS(Bills!$D$8:$D$507,C416,Bills!$C$8:$C$507,F416)&gt;0,0,N(D416))))</f>
        <v>0</v>
      </c>
    </row>
    <row r="417" customFormat="false" ht="15" hidden="false" customHeight="false" outlineLevel="0" collapsed="false">
      <c r="A417" s="40" t="str">
        <f aca="false">IF(C417="","",ROW()-7)</f>
        <v/>
      </c>
      <c r="B417" s="79"/>
      <c r="C417" s="76"/>
      <c r="D417" s="80"/>
      <c r="E417" s="78"/>
      <c r="F417" s="75"/>
      <c r="G417" s="75"/>
      <c r="H417" s="76"/>
      <c r="I417" s="50" t="str">
        <f aca="false">IF(AND(C417="",B417="",D417=""),"",IF(C417="","⚠ Pick supplier",IF(ISNA(MATCH(C417,Suppliers!$B$7:$B$106,0)),"⚠ Supplier not in list",IF(B417="","⚠ Enter date",IF(N(D417)&lt;=0,"⚠ Enter amount",IF(AND(F417&lt;&gt;"",NOT(COUNTIFS(Bills!$D$8:$D$507,C417,Bills!$C$8:$C$507,F417)&gt;0)),"⚠ Bill not found – treated as on account",IF(F417="","✔ On account","✔")))))))</f>
        <v/>
      </c>
      <c r="J417" s="9" t="n">
        <f aca="false">IF(C417="",0,IF(F417="",N(D417),IF(COUNTIFS(Bills!$D$8:$D$507,C417,Bills!$C$8:$C$507,F417)&gt;0,0,N(D417))))</f>
        <v>0</v>
      </c>
    </row>
    <row r="418" customFormat="false" ht="15" hidden="false" customHeight="false" outlineLevel="0" collapsed="false">
      <c r="A418" s="40" t="str">
        <f aca="false">IF(C418="","",ROW()-7)</f>
        <v/>
      </c>
      <c r="B418" s="79"/>
      <c r="C418" s="76"/>
      <c r="D418" s="80"/>
      <c r="E418" s="78"/>
      <c r="F418" s="75"/>
      <c r="G418" s="75"/>
      <c r="H418" s="76"/>
      <c r="I418" s="50" t="str">
        <f aca="false">IF(AND(C418="",B418="",D418=""),"",IF(C418="","⚠ Pick supplier",IF(ISNA(MATCH(C418,Suppliers!$B$7:$B$106,0)),"⚠ Supplier not in list",IF(B418="","⚠ Enter date",IF(N(D418)&lt;=0,"⚠ Enter amount",IF(AND(F418&lt;&gt;"",NOT(COUNTIFS(Bills!$D$8:$D$507,C418,Bills!$C$8:$C$507,F418)&gt;0)),"⚠ Bill not found – treated as on account",IF(F418="","✔ On account","✔")))))))</f>
        <v/>
      </c>
      <c r="J418" s="9" t="n">
        <f aca="false">IF(C418="",0,IF(F418="",N(D418),IF(COUNTIFS(Bills!$D$8:$D$507,C418,Bills!$C$8:$C$507,F418)&gt;0,0,N(D418))))</f>
        <v>0</v>
      </c>
    </row>
    <row r="419" customFormat="false" ht="15" hidden="false" customHeight="false" outlineLevel="0" collapsed="false">
      <c r="A419" s="40" t="str">
        <f aca="false">IF(C419="","",ROW()-7)</f>
        <v/>
      </c>
      <c r="B419" s="79"/>
      <c r="C419" s="76"/>
      <c r="D419" s="80"/>
      <c r="E419" s="78"/>
      <c r="F419" s="75"/>
      <c r="G419" s="75"/>
      <c r="H419" s="76"/>
      <c r="I419" s="50" t="str">
        <f aca="false">IF(AND(C419="",B419="",D419=""),"",IF(C419="","⚠ Pick supplier",IF(ISNA(MATCH(C419,Suppliers!$B$7:$B$106,0)),"⚠ Supplier not in list",IF(B419="","⚠ Enter date",IF(N(D419)&lt;=0,"⚠ Enter amount",IF(AND(F419&lt;&gt;"",NOT(COUNTIFS(Bills!$D$8:$D$507,C419,Bills!$C$8:$C$507,F419)&gt;0)),"⚠ Bill not found – treated as on account",IF(F419="","✔ On account","✔")))))))</f>
        <v/>
      </c>
      <c r="J419" s="9" t="n">
        <f aca="false">IF(C419="",0,IF(F419="",N(D419),IF(COUNTIFS(Bills!$D$8:$D$507,C419,Bills!$C$8:$C$507,F419)&gt;0,0,N(D419))))</f>
        <v>0</v>
      </c>
    </row>
    <row r="420" customFormat="false" ht="15" hidden="false" customHeight="false" outlineLevel="0" collapsed="false">
      <c r="A420" s="40" t="str">
        <f aca="false">IF(C420="","",ROW()-7)</f>
        <v/>
      </c>
      <c r="B420" s="79"/>
      <c r="C420" s="76"/>
      <c r="D420" s="80"/>
      <c r="E420" s="78"/>
      <c r="F420" s="75"/>
      <c r="G420" s="75"/>
      <c r="H420" s="76"/>
      <c r="I420" s="50" t="str">
        <f aca="false">IF(AND(C420="",B420="",D420=""),"",IF(C420="","⚠ Pick supplier",IF(ISNA(MATCH(C420,Suppliers!$B$7:$B$106,0)),"⚠ Supplier not in list",IF(B420="","⚠ Enter date",IF(N(D420)&lt;=0,"⚠ Enter amount",IF(AND(F420&lt;&gt;"",NOT(COUNTIFS(Bills!$D$8:$D$507,C420,Bills!$C$8:$C$507,F420)&gt;0)),"⚠ Bill not found – treated as on account",IF(F420="","✔ On account","✔")))))))</f>
        <v/>
      </c>
      <c r="J420" s="9" t="n">
        <f aca="false">IF(C420="",0,IF(F420="",N(D420),IF(COUNTIFS(Bills!$D$8:$D$507,C420,Bills!$C$8:$C$507,F420)&gt;0,0,N(D420))))</f>
        <v>0</v>
      </c>
    </row>
    <row r="421" customFormat="false" ht="15" hidden="false" customHeight="false" outlineLevel="0" collapsed="false">
      <c r="A421" s="40" t="str">
        <f aca="false">IF(C421="","",ROW()-7)</f>
        <v/>
      </c>
      <c r="B421" s="79"/>
      <c r="C421" s="76"/>
      <c r="D421" s="80"/>
      <c r="E421" s="78"/>
      <c r="F421" s="75"/>
      <c r="G421" s="75"/>
      <c r="H421" s="76"/>
      <c r="I421" s="50" t="str">
        <f aca="false">IF(AND(C421="",B421="",D421=""),"",IF(C421="","⚠ Pick supplier",IF(ISNA(MATCH(C421,Suppliers!$B$7:$B$106,0)),"⚠ Supplier not in list",IF(B421="","⚠ Enter date",IF(N(D421)&lt;=0,"⚠ Enter amount",IF(AND(F421&lt;&gt;"",NOT(COUNTIFS(Bills!$D$8:$D$507,C421,Bills!$C$8:$C$507,F421)&gt;0)),"⚠ Bill not found – treated as on account",IF(F421="","✔ On account","✔")))))))</f>
        <v/>
      </c>
      <c r="J421" s="9" t="n">
        <f aca="false">IF(C421="",0,IF(F421="",N(D421),IF(COUNTIFS(Bills!$D$8:$D$507,C421,Bills!$C$8:$C$507,F421)&gt;0,0,N(D421))))</f>
        <v>0</v>
      </c>
    </row>
    <row r="422" customFormat="false" ht="15" hidden="false" customHeight="false" outlineLevel="0" collapsed="false">
      <c r="A422" s="40" t="str">
        <f aca="false">IF(C422="","",ROW()-7)</f>
        <v/>
      </c>
      <c r="B422" s="79"/>
      <c r="C422" s="76"/>
      <c r="D422" s="80"/>
      <c r="E422" s="78"/>
      <c r="F422" s="75"/>
      <c r="G422" s="75"/>
      <c r="H422" s="76"/>
      <c r="I422" s="50" t="str">
        <f aca="false">IF(AND(C422="",B422="",D422=""),"",IF(C422="","⚠ Pick supplier",IF(ISNA(MATCH(C422,Suppliers!$B$7:$B$106,0)),"⚠ Supplier not in list",IF(B422="","⚠ Enter date",IF(N(D422)&lt;=0,"⚠ Enter amount",IF(AND(F422&lt;&gt;"",NOT(COUNTIFS(Bills!$D$8:$D$507,C422,Bills!$C$8:$C$507,F422)&gt;0)),"⚠ Bill not found – treated as on account",IF(F422="","✔ On account","✔")))))))</f>
        <v/>
      </c>
      <c r="J422" s="9" t="n">
        <f aca="false">IF(C422="",0,IF(F422="",N(D422),IF(COUNTIFS(Bills!$D$8:$D$507,C422,Bills!$C$8:$C$507,F422)&gt;0,0,N(D422))))</f>
        <v>0</v>
      </c>
    </row>
    <row r="423" customFormat="false" ht="15" hidden="false" customHeight="false" outlineLevel="0" collapsed="false">
      <c r="A423" s="40" t="str">
        <f aca="false">IF(C423="","",ROW()-7)</f>
        <v/>
      </c>
      <c r="B423" s="79"/>
      <c r="C423" s="76"/>
      <c r="D423" s="80"/>
      <c r="E423" s="78"/>
      <c r="F423" s="75"/>
      <c r="G423" s="75"/>
      <c r="H423" s="76"/>
      <c r="I423" s="50" t="str">
        <f aca="false">IF(AND(C423="",B423="",D423=""),"",IF(C423="","⚠ Pick supplier",IF(ISNA(MATCH(C423,Suppliers!$B$7:$B$106,0)),"⚠ Supplier not in list",IF(B423="","⚠ Enter date",IF(N(D423)&lt;=0,"⚠ Enter amount",IF(AND(F423&lt;&gt;"",NOT(COUNTIFS(Bills!$D$8:$D$507,C423,Bills!$C$8:$C$507,F423)&gt;0)),"⚠ Bill not found – treated as on account",IF(F423="","✔ On account","✔")))))))</f>
        <v/>
      </c>
      <c r="J423" s="9" t="n">
        <f aca="false">IF(C423="",0,IF(F423="",N(D423),IF(COUNTIFS(Bills!$D$8:$D$507,C423,Bills!$C$8:$C$507,F423)&gt;0,0,N(D423))))</f>
        <v>0</v>
      </c>
    </row>
    <row r="424" customFormat="false" ht="15" hidden="false" customHeight="false" outlineLevel="0" collapsed="false">
      <c r="A424" s="40" t="str">
        <f aca="false">IF(C424="","",ROW()-7)</f>
        <v/>
      </c>
      <c r="B424" s="79"/>
      <c r="C424" s="76"/>
      <c r="D424" s="80"/>
      <c r="E424" s="78"/>
      <c r="F424" s="75"/>
      <c r="G424" s="75"/>
      <c r="H424" s="76"/>
      <c r="I424" s="50" t="str">
        <f aca="false">IF(AND(C424="",B424="",D424=""),"",IF(C424="","⚠ Pick supplier",IF(ISNA(MATCH(C424,Suppliers!$B$7:$B$106,0)),"⚠ Supplier not in list",IF(B424="","⚠ Enter date",IF(N(D424)&lt;=0,"⚠ Enter amount",IF(AND(F424&lt;&gt;"",NOT(COUNTIFS(Bills!$D$8:$D$507,C424,Bills!$C$8:$C$507,F424)&gt;0)),"⚠ Bill not found – treated as on account",IF(F424="","✔ On account","✔")))))))</f>
        <v/>
      </c>
      <c r="J424" s="9" t="n">
        <f aca="false">IF(C424="",0,IF(F424="",N(D424),IF(COUNTIFS(Bills!$D$8:$D$507,C424,Bills!$C$8:$C$507,F424)&gt;0,0,N(D424))))</f>
        <v>0</v>
      </c>
    </row>
    <row r="425" customFormat="false" ht="15" hidden="false" customHeight="false" outlineLevel="0" collapsed="false">
      <c r="A425" s="40" t="str">
        <f aca="false">IF(C425="","",ROW()-7)</f>
        <v/>
      </c>
      <c r="B425" s="79"/>
      <c r="C425" s="76"/>
      <c r="D425" s="80"/>
      <c r="E425" s="78"/>
      <c r="F425" s="75"/>
      <c r="G425" s="75"/>
      <c r="H425" s="76"/>
      <c r="I425" s="50" t="str">
        <f aca="false">IF(AND(C425="",B425="",D425=""),"",IF(C425="","⚠ Pick supplier",IF(ISNA(MATCH(C425,Suppliers!$B$7:$B$106,0)),"⚠ Supplier not in list",IF(B425="","⚠ Enter date",IF(N(D425)&lt;=0,"⚠ Enter amount",IF(AND(F425&lt;&gt;"",NOT(COUNTIFS(Bills!$D$8:$D$507,C425,Bills!$C$8:$C$507,F425)&gt;0)),"⚠ Bill not found – treated as on account",IF(F425="","✔ On account","✔")))))))</f>
        <v/>
      </c>
      <c r="J425" s="9" t="n">
        <f aca="false">IF(C425="",0,IF(F425="",N(D425),IF(COUNTIFS(Bills!$D$8:$D$507,C425,Bills!$C$8:$C$507,F425)&gt;0,0,N(D425))))</f>
        <v>0</v>
      </c>
    </row>
    <row r="426" customFormat="false" ht="15" hidden="false" customHeight="false" outlineLevel="0" collapsed="false">
      <c r="A426" s="40" t="str">
        <f aca="false">IF(C426="","",ROW()-7)</f>
        <v/>
      </c>
      <c r="B426" s="79"/>
      <c r="C426" s="76"/>
      <c r="D426" s="80"/>
      <c r="E426" s="78"/>
      <c r="F426" s="75"/>
      <c r="G426" s="75"/>
      <c r="H426" s="76"/>
      <c r="I426" s="50" t="str">
        <f aca="false">IF(AND(C426="",B426="",D426=""),"",IF(C426="","⚠ Pick supplier",IF(ISNA(MATCH(C426,Suppliers!$B$7:$B$106,0)),"⚠ Supplier not in list",IF(B426="","⚠ Enter date",IF(N(D426)&lt;=0,"⚠ Enter amount",IF(AND(F426&lt;&gt;"",NOT(COUNTIFS(Bills!$D$8:$D$507,C426,Bills!$C$8:$C$507,F426)&gt;0)),"⚠ Bill not found – treated as on account",IF(F426="","✔ On account","✔")))))))</f>
        <v/>
      </c>
      <c r="J426" s="9" t="n">
        <f aca="false">IF(C426="",0,IF(F426="",N(D426),IF(COUNTIFS(Bills!$D$8:$D$507,C426,Bills!$C$8:$C$507,F426)&gt;0,0,N(D426))))</f>
        <v>0</v>
      </c>
    </row>
    <row r="427" customFormat="false" ht="15" hidden="false" customHeight="false" outlineLevel="0" collapsed="false">
      <c r="A427" s="40" t="str">
        <f aca="false">IF(C427="","",ROW()-7)</f>
        <v/>
      </c>
      <c r="B427" s="79"/>
      <c r="C427" s="76"/>
      <c r="D427" s="80"/>
      <c r="E427" s="78"/>
      <c r="F427" s="75"/>
      <c r="G427" s="75"/>
      <c r="H427" s="76"/>
      <c r="I427" s="50" t="str">
        <f aca="false">IF(AND(C427="",B427="",D427=""),"",IF(C427="","⚠ Pick supplier",IF(ISNA(MATCH(C427,Suppliers!$B$7:$B$106,0)),"⚠ Supplier not in list",IF(B427="","⚠ Enter date",IF(N(D427)&lt;=0,"⚠ Enter amount",IF(AND(F427&lt;&gt;"",NOT(COUNTIFS(Bills!$D$8:$D$507,C427,Bills!$C$8:$C$507,F427)&gt;0)),"⚠ Bill not found – treated as on account",IF(F427="","✔ On account","✔")))))))</f>
        <v/>
      </c>
      <c r="J427" s="9" t="n">
        <f aca="false">IF(C427="",0,IF(F427="",N(D427),IF(COUNTIFS(Bills!$D$8:$D$507,C427,Bills!$C$8:$C$507,F427)&gt;0,0,N(D427))))</f>
        <v>0</v>
      </c>
    </row>
    <row r="428" customFormat="false" ht="15" hidden="false" customHeight="false" outlineLevel="0" collapsed="false">
      <c r="A428" s="40" t="str">
        <f aca="false">IF(C428="","",ROW()-7)</f>
        <v/>
      </c>
      <c r="B428" s="79"/>
      <c r="C428" s="76"/>
      <c r="D428" s="80"/>
      <c r="E428" s="78"/>
      <c r="F428" s="75"/>
      <c r="G428" s="75"/>
      <c r="H428" s="76"/>
      <c r="I428" s="50" t="str">
        <f aca="false">IF(AND(C428="",B428="",D428=""),"",IF(C428="","⚠ Pick supplier",IF(ISNA(MATCH(C428,Suppliers!$B$7:$B$106,0)),"⚠ Supplier not in list",IF(B428="","⚠ Enter date",IF(N(D428)&lt;=0,"⚠ Enter amount",IF(AND(F428&lt;&gt;"",NOT(COUNTIFS(Bills!$D$8:$D$507,C428,Bills!$C$8:$C$507,F428)&gt;0)),"⚠ Bill not found – treated as on account",IF(F428="","✔ On account","✔")))))))</f>
        <v/>
      </c>
      <c r="J428" s="9" t="n">
        <f aca="false">IF(C428="",0,IF(F428="",N(D428),IF(COUNTIFS(Bills!$D$8:$D$507,C428,Bills!$C$8:$C$507,F428)&gt;0,0,N(D428))))</f>
        <v>0</v>
      </c>
    </row>
    <row r="429" customFormat="false" ht="15" hidden="false" customHeight="false" outlineLevel="0" collapsed="false">
      <c r="A429" s="40" t="str">
        <f aca="false">IF(C429="","",ROW()-7)</f>
        <v/>
      </c>
      <c r="B429" s="79"/>
      <c r="C429" s="76"/>
      <c r="D429" s="80"/>
      <c r="E429" s="78"/>
      <c r="F429" s="75"/>
      <c r="G429" s="75"/>
      <c r="H429" s="76"/>
      <c r="I429" s="50" t="str">
        <f aca="false">IF(AND(C429="",B429="",D429=""),"",IF(C429="","⚠ Pick supplier",IF(ISNA(MATCH(C429,Suppliers!$B$7:$B$106,0)),"⚠ Supplier not in list",IF(B429="","⚠ Enter date",IF(N(D429)&lt;=0,"⚠ Enter amount",IF(AND(F429&lt;&gt;"",NOT(COUNTIFS(Bills!$D$8:$D$507,C429,Bills!$C$8:$C$507,F429)&gt;0)),"⚠ Bill not found – treated as on account",IF(F429="","✔ On account","✔")))))))</f>
        <v/>
      </c>
      <c r="J429" s="9" t="n">
        <f aca="false">IF(C429="",0,IF(F429="",N(D429),IF(COUNTIFS(Bills!$D$8:$D$507,C429,Bills!$C$8:$C$507,F429)&gt;0,0,N(D429))))</f>
        <v>0</v>
      </c>
    </row>
    <row r="430" customFormat="false" ht="15" hidden="false" customHeight="false" outlineLevel="0" collapsed="false">
      <c r="A430" s="40" t="str">
        <f aca="false">IF(C430="","",ROW()-7)</f>
        <v/>
      </c>
      <c r="B430" s="79"/>
      <c r="C430" s="76"/>
      <c r="D430" s="80"/>
      <c r="E430" s="78"/>
      <c r="F430" s="75"/>
      <c r="G430" s="75"/>
      <c r="H430" s="76"/>
      <c r="I430" s="50" t="str">
        <f aca="false">IF(AND(C430="",B430="",D430=""),"",IF(C430="","⚠ Pick supplier",IF(ISNA(MATCH(C430,Suppliers!$B$7:$B$106,0)),"⚠ Supplier not in list",IF(B430="","⚠ Enter date",IF(N(D430)&lt;=0,"⚠ Enter amount",IF(AND(F430&lt;&gt;"",NOT(COUNTIFS(Bills!$D$8:$D$507,C430,Bills!$C$8:$C$507,F430)&gt;0)),"⚠ Bill not found – treated as on account",IF(F430="","✔ On account","✔")))))))</f>
        <v/>
      </c>
      <c r="J430" s="9" t="n">
        <f aca="false">IF(C430="",0,IF(F430="",N(D430),IF(COUNTIFS(Bills!$D$8:$D$507,C430,Bills!$C$8:$C$507,F430)&gt;0,0,N(D430))))</f>
        <v>0</v>
      </c>
    </row>
    <row r="431" customFormat="false" ht="15" hidden="false" customHeight="false" outlineLevel="0" collapsed="false">
      <c r="A431" s="40" t="str">
        <f aca="false">IF(C431="","",ROW()-7)</f>
        <v/>
      </c>
      <c r="B431" s="79"/>
      <c r="C431" s="76"/>
      <c r="D431" s="80"/>
      <c r="E431" s="78"/>
      <c r="F431" s="75"/>
      <c r="G431" s="75"/>
      <c r="H431" s="76"/>
      <c r="I431" s="50" t="str">
        <f aca="false">IF(AND(C431="",B431="",D431=""),"",IF(C431="","⚠ Pick supplier",IF(ISNA(MATCH(C431,Suppliers!$B$7:$B$106,0)),"⚠ Supplier not in list",IF(B431="","⚠ Enter date",IF(N(D431)&lt;=0,"⚠ Enter amount",IF(AND(F431&lt;&gt;"",NOT(COUNTIFS(Bills!$D$8:$D$507,C431,Bills!$C$8:$C$507,F431)&gt;0)),"⚠ Bill not found – treated as on account",IF(F431="","✔ On account","✔")))))))</f>
        <v/>
      </c>
      <c r="J431" s="9" t="n">
        <f aca="false">IF(C431="",0,IF(F431="",N(D431),IF(COUNTIFS(Bills!$D$8:$D$507,C431,Bills!$C$8:$C$507,F431)&gt;0,0,N(D431))))</f>
        <v>0</v>
      </c>
    </row>
    <row r="432" customFormat="false" ht="15" hidden="false" customHeight="false" outlineLevel="0" collapsed="false">
      <c r="A432" s="40" t="str">
        <f aca="false">IF(C432="","",ROW()-7)</f>
        <v/>
      </c>
      <c r="B432" s="79"/>
      <c r="C432" s="76"/>
      <c r="D432" s="80"/>
      <c r="E432" s="78"/>
      <c r="F432" s="75"/>
      <c r="G432" s="75"/>
      <c r="H432" s="76"/>
      <c r="I432" s="50" t="str">
        <f aca="false">IF(AND(C432="",B432="",D432=""),"",IF(C432="","⚠ Pick supplier",IF(ISNA(MATCH(C432,Suppliers!$B$7:$B$106,0)),"⚠ Supplier not in list",IF(B432="","⚠ Enter date",IF(N(D432)&lt;=0,"⚠ Enter amount",IF(AND(F432&lt;&gt;"",NOT(COUNTIFS(Bills!$D$8:$D$507,C432,Bills!$C$8:$C$507,F432)&gt;0)),"⚠ Bill not found – treated as on account",IF(F432="","✔ On account","✔")))))))</f>
        <v/>
      </c>
      <c r="J432" s="9" t="n">
        <f aca="false">IF(C432="",0,IF(F432="",N(D432),IF(COUNTIFS(Bills!$D$8:$D$507,C432,Bills!$C$8:$C$507,F432)&gt;0,0,N(D432))))</f>
        <v>0</v>
      </c>
    </row>
    <row r="433" customFormat="false" ht="15" hidden="false" customHeight="false" outlineLevel="0" collapsed="false">
      <c r="A433" s="40" t="str">
        <f aca="false">IF(C433="","",ROW()-7)</f>
        <v/>
      </c>
      <c r="B433" s="79"/>
      <c r="C433" s="76"/>
      <c r="D433" s="80"/>
      <c r="E433" s="78"/>
      <c r="F433" s="75"/>
      <c r="G433" s="75"/>
      <c r="H433" s="76"/>
      <c r="I433" s="50" t="str">
        <f aca="false">IF(AND(C433="",B433="",D433=""),"",IF(C433="","⚠ Pick supplier",IF(ISNA(MATCH(C433,Suppliers!$B$7:$B$106,0)),"⚠ Supplier not in list",IF(B433="","⚠ Enter date",IF(N(D433)&lt;=0,"⚠ Enter amount",IF(AND(F433&lt;&gt;"",NOT(COUNTIFS(Bills!$D$8:$D$507,C433,Bills!$C$8:$C$507,F433)&gt;0)),"⚠ Bill not found – treated as on account",IF(F433="","✔ On account","✔")))))))</f>
        <v/>
      </c>
      <c r="J433" s="9" t="n">
        <f aca="false">IF(C433="",0,IF(F433="",N(D433),IF(COUNTIFS(Bills!$D$8:$D$507,C433,Bills!$C$8:$C$507,F433)&gt;0,0,N(D433))))</f>
        <v>0</v>
      </c>
    </row>
    <row r="434" customFormat="false" ht="15" hidden="false" customHeight="false" outlineLevel="0" collapsed="false">
      <c r="A434" s="40" t="str">
        <f aca="false">IF(C434="","",ROW()-7)</f>
        <v/>
      </c>
      <c r="B434" s="79"/>
      <c r="C434" s="76"/>
      <c r="D434" s="80"/>
      <c r="E434" s="78"/>
      <c r="F434" s="75"/>
      <c r="G434" s="75"/>
      <c r="H434" s="76"/>
      <c r="I434" s="50" t="str">
        <f aca="false">IF(AND(C434="",B434="",D434=""),"",IF(C434="","⚠ Pick supplier",IF(ISNA(MATCH(C434,Suppliers!$B$7:$B$106,0)),"⚠ Supplier not in list",IF(B434="","⚠ Enter date",IF(N(D434)&lt;=0,"⚠ Enter amount",IF(AND(F434&lt;&gt;"",NOT(COUNTIFS(Bills!$D$8:$D$507,C434,Bills!$C$8:$C$507,F434)&gt;0)),"⚠ Bill not found – treated as on account",IF(F434="","✔ On account","✔")))))))</f>
        <v/>
      </c>
      <c r="J434" s="9" t="n">
        <f aca="false">IF(C434="",0,IF(F434="",N(D434),IF(COUNTIFS(Bills!$D$8:$D$507,C434,Bills!$C$8:$C$507,F434)&gt;0,0,N(D434))))</f>
        <v>0</v>
      </c>
    </row>
    <row r="435" customFormat="false" ht="15" hidden="false" customHeight="false" outlineLevel="0" collapsed="false">
      <c r="A435" s="40" t="str">
        <f aca="false">IF(C435="","",ROW()-7)</f>
        <v/>
      </c>
      <c r="B435" s="79"/>
      <c r="C435" s="76"/>
      <c r="D435" s="80"/>
      <c r="E435" s="78"/>
      <c r="F435" s="75"/>
      <c r="G435" s="75"/>
      <c r="H435" s="76"/>
      <c r="I435" s="50" t="str">
        <f aca="false">IF(AND(C435="",B435="",D435=""),"",IF(C435="","⚠ Pick supplier",IF(ISNA(MATCH(C435,Suppliers!$B$7:$B$106,0)),"⚠ Supplier not in list",IF(B435="","⚠ Enter date",IF(N(D435)&lt;=0,"⚠ Enter amount",IF(AND(F435&lt;&gt;"",NOT(COUNTIFS(Bills!$D$8:$D$507,C435,Bills!$C$8:$C$507,F435)&gt;0)),"⚠ Bill not found – treated as on account",IF(F435="","✔ On account","✔")))))))</f>
        <v/>
      </c>
      <c r="J435" s="9" t="n">
        <f aca="false">IF(C435="",0,IF(F435="",N(D435),IF(COUNTIFS(Bills!$D$8:$D$507,C435,Bills!$C$8:$C$507,F435)&gt;0,0,N(D435))))</f>
        <v>0</v>
      </c>
    </row>
    <row r="436" customFormat="false" ht="15" hidden="false" customHeight="false" outlineLevel="0" collapsed="false">
      <c r="A436" s="40" t="str">
        <f aca="false">IF(C436="","",ROW()-7)</f>
        <v/>
      </c>
      <c r="B436" s="79"/>
      <c r="C436" s="76"/>
      <c r="D436" s="80"/>
      <c r="E436" s="78"/>
      <c r="F436" s="75"/>
      <c r="G436" s="75"/>
      <c r="H436" s="76"/>
      <c r="I436" s="50" t="str">
        <f aca="false">IF(AND(C436="",B436="",D436=""),"",IF(C436="","⚠ Pick supplier",IF(ISNA(MATCH(C436,Suppliers!$B$7:$B$106,0)),"⚠ Supplier not in list",IF(B436="","⚠ Enter date",IF(N(D436)&lt;=0,"⚠ Enter amount",IF(AND(F436&lt;&gt;"",NOT(COUNTIFS(Bills!$D$8:$D$507,C436,Bills!$C$8:$C$507,F436)&gt;0)),"⚠ Bill not found – treated as on account",IF(F436="","✔ On account","✔")))))))</f>
        <v/>
      </c>
      <c r="J436" s="9" t="n">
        <f aca="false">IF(C436="",0,IF(F436="",N(D436),IF(COUNTIFS(Bills!$D$8:$D$507,C436,Bills!$C$8:$C$507,F436)&gt;0,0,N(D436))))</f>
        <v>0</v>
      </c>
    </row>
    <row r="437" customFormat="false" ht="15" hidden="false" customHeight="false" outlineLevel="0" collapsed="false">
      <c r="A437" s="40" t="str">
        <f aca="false">IF(C437="","",ROW()-7)</f>
        <v/>
      </c>
      <c r="B437" s="79"/>
      <c r="C437" s="76"/>
      <c r="D437" s="80"/>
      <c r="E437" s="78"/>
      <c r="F437" s="75"/>
      <c r="G437" s="75"/>
      <c r="H437" s="76"/>
      <c r="I437" s="50" t="str">
        <f aca="false">IF(AND(C437="",B437="",D437=""),"",IF(C437="","⚠ Pick supplier",IF(ISNA(MATCH(C437,Suppliers!$B$7:$B$106,0)),"⚠ Supplier not in list",IF(B437="","⚠ Enter date",IF(N(D437)&lt;=0,"⚠ Enter amount",IF(AND(F437&lt;&gt;"",NOT(COUNTIFS(Bills!$D$8:$D$507,C437,Bills!$C$8:$C$507,F437)&gt;0)),"⚠ Bill not found – treated as on account",IF(F437="","✔ On account","✔")))))))</f>
        <v/>
      </c>
      <c r="J437" s="9" t="n">
        <f aca="false">IF(C437="",0,IF(F437="",N(D437),IF(COUNTIFS(Bills!$D$8:$D$507,C437,Bills!$C$8:$C$507,F437)&gt;0,0,N(D437))))</f>
        <v>0</v>
      </c>
    </row>
    <row r="438" customFormat="false" ht="15" hidden="false" customHeight="false" outlineLevel="0" collapsed="false">
      <c r="A438" s="40" t="str">
        <f aca="false">IF(C438="","",ROW()-7)</f>
        <v/>
      </c>
      <c r="B438" s="79"/>
      <c r="C438" s="76"/>
      <c r="D438" s="80"/>
      <c r="E438" s="78"/>
      <c r="F438" s="75"/>
      <c r="G438" s="75"/>
      <c r="H438" s="76"/>
      <c r="I438" s="50" t="str">
        <f aca="false">IF(AND(C438="",B438="",D438=""),"",IF(C438="","⚠ Pick supplier",IF(ISNA(MATCH(C438,Suppliers!$B$7:$B$106,0)),"⚠ Supplier not in list",IF(B438="","⚠ Enter date",IF(N(D438)&lt;=0,"⚠ Enter amount",IF(AND(F438&lt;&gt;"",NOT(COUNTIFS(Bills!$D$8:$D$507,C438,Bills!$C$8:$C$507,F438)&gt;0)),"⚠ Bill not found – treated as on account",IF(F438="","✔ On account","✔")))))))</f>
        <v/>
      </c>
      <c r="J438" s="9" t="n">
        <f aca="false">IF(C438="",0,IF(F438="",N(D438),IF(COUNTIFS(Bills!$D$8:$D$507,C438,Bills!$C$8:$C$507,F438)&gt;0,0,N(D438))))</f>
        <v>0</v>
      </c>
    </row>
    <row r="439" customFormat="false" ht="15" hidden="false" customHeight="false" outlineLevel="0" collapsed="false">
      <c r="A439" s="40" t="str">
        <f aca="false">IF(C439="","",ROW()-7)</f>
        <v/>
      </c>
      <c r="B439" s="79"/>
      <c r="C439" s="76"/>
      <c r="D439" s="80"/>
      <c r="E439" s="78"/>
      <c r="F439" s="75"/>
      <c r="G439" s="75"/>
      <c r="H439" s="76"/>
      <c r="I439" s="50" t="str">
        <f aca="false">IF(AND(C439="",B439="",D439=""),"",IF(C439="","⚠ Pick supplier",IF(ISNA(MATCH(C439,Suppliers!$B$7:$B$106,0)),"⚠ Supplier not in list",IF(B439="","⚠ Enter date",IF(N(D439)&lt;=0,"⚠ Enter amount",IF(AND(F439&lt;&gt;"",NOT(COUNTIFS(Bills!$D$8:$D$507,C439,Bills!$C$8:$C$507,F439)&gt;0)),"⚠ Bill not found – treated as on account",IF(F439="","✔ On account","✔")))))))</f>
        <v/>
      </c>
      <c r="J439" s="9" t="n">
        <f aca="false">IF(C439="",0,IF(F439="",N(D439),IF(COUNTIFS(Bills!$D$8:$D$507,C439,Bills!$C$8:$C$507,F439)&gt;0,0,N(D439))))</f>
        <v>0</v>
      </c>
    </row>
    <row r="440" customFormat="false" ht="15" hidden="false" customHeight="false" outlineLevel="0" collapsed="false">
      <c r="A440" s="40" t="str">
        <f aca="false">IF(C440="","",ROW()-7)</f>
        <v/>
      </c>
      <c r="B440" s="79"/>
      <c r="C440" s="76"/>
      <c r="D440" s="80"/>
      <c r="E440" s="78"/>
      <c r="F440" s="75"/>
      <c r="G440" s="75"/>
      <c r="H440" s="76"/>
      <c r="I440" s="50" t="str">
        <f aca="false">IF(AND(C440="",B440="",D440=""),"",IF(C440="","⚠ Pick supplier",IF(ISNA(MATCH(C440,Suppliers!$B$7:$B$106,0)),"⚠ Supplier not in list",IF(B440="","⚠ Enter date",IF(N(D440)&lt;=0,"⚠ Enter amount",IF(AND(F440&lt;&gt;"",NOT(COUNTIFS(Bills!$D$8:$D$507,C440,Bills!$C$8:$C$507,F440)&gt;0)),"⚠ Bill not found – treated as on account",IF(F440="","✔ On account","✔")))))))</f>
        <v/>
      </c>
      <c r="J440" s="9" t="n">
        <f aca="false">IF(C440="",0,IF(F440="",N(D440),IF(COUNTIFS(Bills!$D$8:$D$507,C440,Bills!$C$8:$C$507,F440)&gt;0,0,N(D440))))</f>
        <v>0</v>
      </c>
    </row>
    <row r="441" customFormat="false" ht="15" hidden="false" customHeight="false" outlineLevel="0" collapsed="false">
      <c r="A441" s="40" t="str">
        <f aca="false">IF(C441="","",ROW()-7)</f>
        <v/>
      </c>
      <c r="B441" s="79"/>
      <c r="C441" s="76"/>
      <c r="D441" s="80"/>
      <c r="E441" s="78"/>
      <c r="F441" s="75"/>
      <c r="G441" s="75"/>
      <c r="H441" s="76"/>
      <c r="I441" s="50" t="str">
        <f aca="false">IF(AND(C441="",B441="",D441=""),"",IF(C441="","⚠ Pick supplier",IF(ISNA(MATCH(C441,Suppliers!$B$7:$B$106,0)),"⚠ Supplier not in list",IF(B441="","⚠ Enter date",IF(N(D441)&lt;=0,"⚠ Enter amount",IF(AND(F441&lt;&gt;"",NOT(COUNTIFS(Bills!$D$8:$D$507,C441,Bills!$C$8:$C$507,F441)&gt;0)),"⚠ Bill not found – treated as on account",IF(F441="","✔ On account","✔")))))))</f>
        <v/>
      </c>
      <c r="J441" s="9" t="n">
        <f aca="false">IF(C441="",0,IF(F441="",N(D441),IF(COUNTIFS(Bills!$D$8:$D$507,C441,Bills!$C$8:$C$507,F441)&gt;0,0,N(D441))))</f>
        <v>0</v>
      </c>
    </row>
    <row r="442" customFormat="false" ht="15" hidden="false" customHeight="false" outlineLevel="0" collapsed="false">
      <c r="A442" s="40" t="str">
        <f aca="false">IF(C442="","",ROW()-7)</f>
        <v/>
      </c>
      <c r="B442" s="79"/>
      <c r="C442" s="76"/>
      <c r="D442" s="80"/>
      <c r="E442" s="78"/>
      <c r="F442" s="75"/>
      <c r="G442" s="75"/>
      <c r="H442" s="76"/>
      <c r="I442" s="50" t="str">
        <f aca="false">IF(AND(C442="",B442="",D442=""),"",IF(C442="","⚠ Pick supplier",IF(ISNA(MATCH(C442,Suppliers!$B$7:$B$106,0)),"⚠ Supplier not in list",IF(B442="","⚠ Enter date",IF(N(D442)&lt;=0,"⚠ Enter amount",IF(AND(F442&lt;&gt;"",NOT(COUNTIFS(Bills!$D$8:$D$507,C442,Bills!$C$8:$C$507,F442)&gt;0)),"⚠ Bill not found – treated as on account",IF(F442="","✔ On account","✔")))))))</f>
        <v/>
      </c>
      <c r="J442" s="9" t="n">
        <f aca="false">IF(C442="",0,IF(F442="",N(D442),IF(COUNTIFS(Bills!$D$8:$D$507,C442,Bills!$C$8:$C$507,F442)&gt;0,0,N(D442))))</f>
        <v>0</v>
      </c>
    </row>
    <row r="443" customFormat="false" ht="15" hidden="false" customHeight="false" outlineLevel="0" collapsed="false">
      <c r="A443" s="40" t="str">
        <f aca="false">IF(C443="","",ROW()-7)</f>
        <v/>
      </c>
      <c r="B443" s="79"/>
      <c r="C443" s="76"/>
      <c r="D443" s="80"/>
      <c r="E443" s="78"/>
      <c r="F443" s="75"/>
      <c r="G443" s="75"/>
      <c r="H443" s="76"/>
      <c r="I443" s="50" t="str">
        <f aca="false">IF(AND(C443="",B443="",D443=""),"",IF(C443="","⚠ Pick supplier",IF(ISNA(MATCH(C443,Suppliers!$B$7:$B$106,0)),"⚠ Supplier not in list",IF(B443="","⚠ Enter date",IF(N(D443)&lt;=0,"⚠ Enter amount",IF(AND(F443&lt;&gt;"",NOT(COUNTIFS(Bills!$D$8:$D$507,C443,Bills!$C$8:$C$507,F443)&gt;0)),"⚠ Bill not found – treated as on account",IF(F443="","✔ On account","✔")))))))</f>
        <v/>
      </c>
      <c r="J443" s="9" t="n">
        <f aca="false">IF(C443="",0,IF(F443="",N(D443),IF(COUNTIFS(Bills!$D$8:$D$507,C443,Bills!$C$8:$C$507,F443)&gt;0,0,N(D443))))</f>
        <v>0</v>
      </c>
    </row>
    <row r="444" customFormat="false" ht="15" hidden="false" customHeight="false" outlineLevel="0" collapsed="false">
      <c r="A444" s="40" t="str">
        <f aca="false">IF(C444="","",ROW()-7)</f>
        <v/>
      </c>
      <c r="B444" s="79"/>
      <c r="C444" s="76"/>
      <c r="D444" s="80"/>
      <c r="E444" s="78"/>
      <c r="F444" s="75"/>
      <c r="G444" s="75"/>
      <c r="H444" s="76"/>
      <c r="I444" s="50" t="str">
        <f aca="false">IF(AND(C444="",B444="",D444=""),"",IF(C444="","⚠ Pick supplier",IF(ISNA(MATCH(C444,Suppliers!$B$7:$B$106,0)),"⚠ Supplier not in list",IF(B444="","⚠ Enter date",IF(N(D444)&lt;=0,"⚠ Enter amount",IF(AND(F444&lt;&gt;"",NOT(COUNTIFS(Bills!$D$8:$D$507,C444,Bills!$C$8:$C$507,F444)&gt;0)),"⚠ Bill not found – treated as on account",IF(F444="","✔ On account","✔")))))))</f>
        <v/>
      </c>
      <c r="J444" s="9" t="n">
        <f aca="false">IF(C444="",0,IF(F444="",N(D444),IF(COUNTIFS(Bills!$D$8:$D$507,C444,Bills!$C$8:$C$507,F444)&gt;0,0,N(D444))))</f>
        <v>0</v>
      </c>
    </row>
    <row r="445" customFormat="false" ht="15" hidden="false" customHeight="false" outlineLevel="0" collapsed="false">
      <c r="A445" s="40" t="str">
        <f aca="false">IF(C445="","",ROW()-7)</f>
        <v/>
      </c>
      <c r="B445" s="79"/>
      <c r="C445" s="76"/>
      <c r="D445" s="80"/>
      <c r="E445" s="78"/>
      <c r="F445" s="75"/>
      <c r="G445" s="75"/>
      <c r="H445" s="76"/>
      <c r="I445" s="50" t="str">
        <f aca="false">IF(AND(C445="",B445="",D445=""),"",IF(C445="","⚠ Pick supplier",IF(ISNA(MATCH(C445,Suppliers!$B$7:$B$106,0)),"⚠ Supplier not in list",IF(B445="","⚠ Enter date",IF(N(D445)&lt;=0,"⚠ Enter amount",IF(AND(F445&lt;&gt;"",NOT(COUNTIFS(Bills!$D$8:$D$507,C445,Bills!$C$8:$C$507,F445)&gt;0)),"⚠ Bill not found – treated as on account",IF(F445="","✔ On account","✔")))))))</f>
        <v/>
      </c>
      <c r="J445" s="9" t="n">
        <f aca="false">IF(C445="",0,IF(F445="",N(D445),IF(COUNTIFS(Bills!$D$8:$D$507,C445,Bills!$C$8:$C$507,F445)&gt;0,0,N(D445))))</f>
        <v>0</v>
      </c>
    </row>
    <row r="446" customFormat="false" ht="15" hidden="false" customHeight="false" outlineLevel="0" collapsed="false">
      <c r="A446" s="40" t="str">
        <f aca="false">IF(C446="","",ROW()-7)</f>
        <v/>
      </c>
      <c r="B446" s="79"/>
      <c r="C446" s="76"/>
      <c r="D446" s="80"/>
      <c r="E446" s="78"/>
      <c r="F446" s="75"/>
      <c r="G446" s="75"/>
      <c r="H446" s="76"/>
      <c r="I446" s="50" t="str">
        <f aca="false">IF(AND(C446="",B446="",D446=""),"",IF(C446="","⚠ Pick supplier",IF(ISNA(MATCH(C446,Suppliers!$B$7:$B$106,0)),"⚠ Supplier not in list",IF(B446="","⚠ Enter date",IF(N(D446)&lt;=0,"⚠ Enter amount",IF(AND(F446&lt;&gt;"",NOT(COUNTIFS(Bills!$D$8:$D$507,C446,Bills!$C$8:$C$507,F446)&gt;0)),"⚠ Bill not found – treated as on account",IF(F446="","✔ On account","✔")))))))</f>
        <v/>
      </c>
      <c r="J446" s="9" t="n">
        <f aca="false">IF(C446="",0,IF(F446="",N(D446),IF(COUNTIFS(Bills!$D$8:$D$507,C446,Bills!$C$8:$C$507,F446)&gt;0,0,N(D446))))</f>
        <v>0</v>
      </c>
    </row>
    <row r="447" customFormat="false" ht="15" hidden="false" customHeight="false" outlineLevel="0" collapsed="false">
      <c r="A447" s="40" t="str">
        <f aca="false">IF(C447="","",ROW()-7)</f>
        <v/>
      </c>
      <c r="B447" s="79"/>
      <c r="C447" s="76"/>
      <c r="D447" s="80"/>
      <c r="E447" s="78"/>
      <c r="F447" s="75"/>
      <c r="G447" s="75"/>
      <c r="H447" s="76"/>
      <c r="I447" s="50" t="str">
        <f aca="false">IF(AND(C447="",B447="",D447=""),"",IF(C447="","⚠ Pick supplier",IF(ISNA(MATCH(C447,Suppliers!$B$7:$B$106,0)),"⚠ Supplier not in list",IF(B447="","⚠ Enter date",IF(N(D447)&lt;=0,"⚠ Enter amount",IF(AND(F447&lt;&gt;"",NOT(COUNTIFS(Bills!$D$8:$D$507,C447,Bills!$C$8:$C$507,F447)&gt;0)),"⚠ Bill not found – treated as on account",IF(F447="","✔ On account","✔")))))))</f>
        <v/>
      </c>
      <c r="J447" s="9" t="n">
        <f aca="false">IF(C447="",0,IF(F447="",N(D447),IF(COUNTIFS(Bills!$D$8:$D$507,C447,Bills!$C$8:$C$507,F447)&gt;0,0,N(D447))))</f>
        <v>0</v>
      </c>
    </row>
    <row r="448" customFormat="false" ht="15" hidden="false" customHeight="false" outlineLevel="0" collapsed="false">
      <c r="A448" s="40" t="str">
        <f aca="false">IF(C448="","",ROW()-7)</f>
        <v/>
      </c>
      <c r="B448" s="79"/>
      <c r="C448" s="76"/>
      <c r="D448" s="80"/>
      <c r="E448" s="78"/>
      <c r="F448" s="75"/>
      <c r="G448" s="75"/>
      <c r="H448" s="76"/>
      <c r="I448" s="50" t="str">
        <f aca="false">IF(AND(C448="",B448="",D448=""),"",IF(C448="","⚠ Pick supplier",IF(ISNA(MATCH(C448,Suppliers!$B$7:$B$106,0)),"⚠ Supplier not in list",IF(B448="","⚠ Enter date",IF(N(D448)&lt;=0,"⚠ Enter amount",IF(AND(F448&lt;&gt;"",NOT(COUNTIFS(Bills!$D$8:$D$507,C448,Bills!$C$8:$C$507,F448)&gt;0)),"⚠ Bill not found – treated as on account",IF(F448="","✔ On account","✔")))))))</f>
        <v/>
      </c>
      <c r="J448" s="9" t="n">
        <f aca="false">IF(C448="",0,IF(F448="",N(D448),IF(COUNTIFS(Bills!$D$8:$D$507,C448,Bills!$C$8:$C$507,F448)&gt;0,0,N(D448))))</f>
        <v>0</v>
      </c>
    </row>
    <row r="449" customFormat="false" ht="15" hidden="false" customHeight="false" outlineLevel="0" collapsed="false">
      <c r="A449" s="40" t="str">
        <f aca="false">IF(C449="","",ROW()-7)</f>
        <v/>
      </c>
      <c r="B449" s="79"/>
      <c r="C449" s="76"/>
      <c r="D449" s="80"/>
      <c r="E449" s="78"/>
      <c r="F449" s="75"/>
      <c r="G449" s="75"/>
      <c r="H449" s="76"/>
      <c r="I449" s="50" t="str">
        <f aca="false">IF(AND(C449="",B449="",D449=""),"",IF(C449="","⚠ Pick supplier",IF(ISNA(MATCH(C449,Suppliers!$B$7:$B$106,0)),"⚠ Supplier not in list",IF(B449="","⚠ Enter date",IF(N(D449)&lt;=0,"⚠ Enter amount",IF(AND(F449&lt;&gt;"",NOT(COUNTIFS(Bills!$D$8:$D$507,C449,Bills!$C$8:$C$507,F449)&gt;0)),"⚠ Bill not found – treated as on account",IF(F449="","✔ On account","✔")))))))</f>
        <v/>
      </c>
      <c r="J449" s="9" t="n">
        <f aca="false">IF(C449="",0,IF(F449="",N(D449),IF(COUNTIFS(Bills!$D$8:$D$507,C449,Bills!$C$8:$C$507,F449)&gt;0,0,N(D449))))</f>
        <v>0</v>
      </c>
    </row>
    <row r="450" customFormat="false" ht="15" hidden="false" customHeight="false" outlineLevel="0" collapsed="false">
      <c r="A450" s="40" t="str">
        <f aca="false">IF(C450="","",ROW()-7)</f>
        <v/>
      </c>
      <c r="B450" s="79"/>
      <c r="C450" s="76"/>
      <c r="D450" s="80"/>
      <c r="E450" s="78"/>
      <c r="F450" s="75"/>
      <c r="G450" s="75"/>
      <c r="H450" s="76"/>
      <c r="I450" s="50" t="str">
        <f aca="false">IF(AND(C450="",B450="",D450=""),"",IF(C450="","⚠ Pick supplier",IF(ISNA(MATCH(C450,Suppliers!$B$7:$B$106,0)),"⚠ Supplier not in list",IF(B450="","⚠ Enter date",IF(N(D450)&lt;=0,"⚠ Enter amount",IF(AND(F450&lt;&gt;"",NOT(COUNTIFS(Bills!$D$8:$D$507,C450,Bills!$C$8:$C$507,F450)&gt;0)),"⚠ Bill not found – treated as on account",IF(F450="","✔ On account","✔")))))))</f>
        <v/>
      </c>
      <c r="J450" s="9" t="n">
        <f aca="false">IF(C450="",0,IF(F450="",N(D450),IF(COUNTIFS(Bills!$D$8:$D$507,C450,Bills!$C$8:$C$507,F450)&gt;0,0,N(D450))))</f>
        <v>0</v>
      </c>
    </row>
    <row r="451" customFormat="false" ht="15" hidden="false" customHeight="false" outlineLevel="0" collapsed="false">
      <c r="A451" s="40" t="str">
        <f aca="false">IF(C451="","",ROW()-7)</f>
        <v/>
      </c>
      <c r="B451" s="79"/>
      <c r="C451" s="76"/>
      <c r="D451" s="80"/>
      <c r="E451" s="78"/>
      <c r="F451" s="75"/>
      <c r="G451" s="75"/>
      <c r="H451" s="76"/>
      <c r="I451" s="50" t="str">
        <f aca="false">IF(AND(C451="",B451="",D451=""),"",IF(C451="","⚠ Pick supplier",IF(ISNA(MATCH(C451,Suppliers!$B$7:$B$106,0)),"⚠ Supplier not in list",IF(B451="","⚠ Enter date",IF(N(D451)&lt;=0,"⚠ Enter amount",IF(AND(F451&lt;&gt;"",NOT(COUNTIFS(Bills!$D$8:$D$507,C451,Bills!$C$8:$C$507,F451)&gt;0)),"⚠ Bill not found – treated as on account",IF(F451="","✔ On account","✔")))))))</f>
        <v/>
      </c>
      <c r="J451" s="9" t="n">
        <f aca="false">IF(C451="",0,IF(F451="",N(D451),IF(COUNTIFS(Bills!$D$8:$D$507,C451,Bills!$C$8:$C$507,F451)&gt;0,0,N(D451))))</f>
        <v>0</v>
      </c>
    </row>
    <row r="452" customFormat="false" ht="15" hidden="false" customHeight="false" outlineLevel="0" collapsed="false">
      <c r="A452" s="40" t="str">
        <f aca="false">IF(C452="","",ROW()-7)</f>
        <v/>
      </c>
      <c r="B452" s="79"/>
      <c r="C452" s="76"/>
      <c r="D452" s="80"/>
      <c r="E452" s="78"/>
      <c r="F452" s="75"/>
      <c r="G452" s="75"/>
      <c r="H452" s="76"/>
      <c r="I452" s="50" t="str">
        <f aca="false">IF(AND(C452="",B452="",D452=""),"",IF(C452="","⚠ Pick supplier",IF(ISNA(MATCH(C452,Suppliers!$B$7:$B$106,0)),"⚠ Supplier not in list",IF(B452="","⚠ Enter date",IF(N(D452)&lt;=0,"⚠ Enter amount",IF(AND(F452&lt;&gt;"",NOT(COUNTIFS(Bills!$D$8:$D$507,C452,Bills!$C$8:$C$507,F452)&gt;0)),"⚠ Bill not found – treated as on account",IF(F452="","✔ On account","✔")))))))</f>
        <v/>
      </c>
      <c r="J452" s="9" t="n">
        <f aca="false">IF(C452="",0,IF(F452="",N(D452),IF(COUNTIFS(Bills!$D$8:$D$507,C452,Bills!$C$8:$C$507,F452)&gt;0,0,N(D452))))</f>
        <v>0</v>
      </c>
    </row>
    <row r="453" customFormat="false" ht="15" hidden="false" customHeight="false" outlineLevel="0" collapsed="false">
      <c r="A453" s="40" t="str">
        <f aca="false">IF(C453="","",ROW()-7)</f>
        <v/>
      </c>
      <c r="B453" s="79"/>
      <c r="C453" s="76"/>
      <c r="D453" s="80"/>
      <c r="E453" s="78"/>
      <c r="F453" s="75"/>
      <c r="G453" s="75"/>
      <c r="H453" s="76"/>
      <c r="I453" s="50" t="str">
        <f aca="false">IF(AND(C453="",B453="",D453=""),"",IF(C453="","⚠ Pick supplier",IF(ISNA(MATCH(C453,Suppliers!$B$7:$B$106,0)),"⚠ Supplier not in list",IF(B453="","⚠ Enter date",IF(N(D453)&lt;=0,"⚠ Enter amount",IF(AND(F453&lt;&gt;"",NOT(COUNTIFS(Bills!$D$8:$D$507,C453,Bills!$C$8:$C$507,F453)&gt;0)),"⚠ Bill not found – treated as on account",IF(F453="","✔ On account","✔")))))))</f>
        <v/>
      </c>
      <c r="J453" s="9" t="n">
        <f aca="false">IF(C453="",0,IF(F453="",N(D453),IF(COUNTIFS(Bills!$D$8:$D$507,C453,Bills!$C$8:$C$507,F453)&gt;0,0,N(D453))))</f>
        <v>0</v>
      </c>
    </row>
    <row r="454" customFormat="false" ht="15" hidden="false" customHeight="false" outlineLevel="0" collapsed="false">
      <c r="A454" s="40" t="str">
        <f aca="false">IF(C454="","",ROW()-7)</f>
        <v/>
      </c>
      <c r="B454" s="79"/>
      <c r="C454" s="76"/>
      <c r="D454" s="80"/>
      <c r="E454" s="78"/>
      <c r="F454" s="75"/>
      <c r="G454" s="75"/>
      <c r="H454" s="76"/>
      <c r="I454" s="50" t="str">
        <f aca="false">IF(AND(C454="",B454="",D454=""),"",IF(C454="","⚠ Pick supplier",IF(ISNA(MATCH(C454,Suppliers!$B$7:$B$106,0)),"⚠ Supplier not in list",IF(B454="","⚠ Enter date",IF(N(D454)&lt;=0,"⚠ Enter amount",IF(AND(F454&lt;&gt;"",NOT(COUNTIFS(Bills!$D$8:$D$507,C454,Bills!$C$8:$C$507,F454)&gt;0)),"⚠ Bill not found – treated as on account",IF(F454="","✔ On account","✔")))))))</f>
        <v/>
      </c>
      <c r="J454" s="9" t="n">
        <f aca="false">IF(C454="",0,IF(F454="",N(D454),IF(COUNTIFS(Bills!$D$8:$D$507,C454,Bills!$C$8:$C$507,F454)&gt;0,0,N(D454))))</f>
        <v>0</v>
      </c>
    </row>
    <row r="455" customFormat="false" ht="15" hidden="false" customHeight="false" outlineLevel="0" collapsed="false">
      <c r="A455" s="40" t="str">
        <f aca="false">IF(C455="","",ROW()-7)</f>
        <v/>
      </c>
      <c r="B455" s="79"/>
      <c r="C455" s="76"/>
      <c r="D455" s="80"/>
      <c r="E455" s="78"/>
      <c r="F455" s="75"/>
      <c r="G455" s="75"/>
      <c r="H455" s="76"/>
      <c r="I455" s="50" t="str">
        <f aca="false">IF(AND(C455="",B455="",D455=""),"",IF(C455="","⚠ Pick supplier",IF(ISNA(MATCH(C455,Suppliers!$B$7:$B$106,0)),"⚠ Supplier not in list",IF(B455="","⚠ Enter date",IF(N(D455)&lt;=0,"⚠ Enter amount",IF(AND(F455&lt;&gt;"",NOT(COUNTIFS(Bills!$D$8:$D$507,C455,Bills!$C$8:$C$507,F455)&gt;0)),"⚠ Bill not found – treated as on account",IF(F455="","✔ On account","✔")))))))</f>
        <v/>
      </c>
      <c r="J455" s="9" t="n">
        <f aca="false">IF(C455="",0,IF(F455="",N(D455),IF(COUNTIFS(Bills!$D$8:$D$507,C455,Bills!$C$8:$C$507,F455)&gt;0,0,N(D455))))</f>
        <v>0</v>
      </c>
    </row>
    <row r="456" customFormat="false" ht="15" hidden="false" customHeight="false" outlineLevel="0" collapsed="false">
      <c r="A456" s="40" t="str">
        <f aca="false">IF(C456="","",ROW()-7)</f>
        <v/>
      </c>
      <c r="B456" s="79"/>
      <c r="C456" s="76"/>
      <c r="D456" s="80"/>
      <c r="E456" s="78"/>
      <c r="F456" s="75"/>
      <c r="G456" s="75"/>
      <c r="H456" s="76"/>
      <c r="I456" s="50" t="str">
        <f aca="false">IF(AND(C456="",B456="",D456=""),"",IF(C456="","⚠ Pick supplier",IF(ISNA(MATCH(C456,Suppliers!$B$7:$B$106,0)),"⚠ Supplier not in list",IF(B456="","⚠ Enter date",IF(N(D456)&lt;=0,"⚠ Enter amount",IF(AND(F456&lt;&gt;"",NOT(COUNTIFS(Bills!$D$8:$D$507,C456,Bills!$C$8:$C$507,F456)&gt;0)),"⚠ Bill not found – treated as on account",IF(F456="","✔ On account","✔")))))))</f>
        <v/>
      </c>
      <c r="J456" s="9" t="n">
        <f aca="false">IF(C456="",0,IF(F456="",N(D456),IF(COUNTIFS(Bills!$D$8:$D$507,C456,Bills!$C$8:$C$507,F456)&gt;0,0,N(D456))))</f>
        <v>0</v>
      </c>
    </row>
    <row r="457" customFormat="false" ht="15" hidden="false" customHeight="false" outlineLevel="0" collapsed="false">
      <c r="A457" s="40" t="str">
        <f aca="false">IF(C457="","",ROW()-7)</f>
        <v/>
      </c>
      <c r="B457" s="79"/>
      <c r="C457" s="76"/>
      <c r="D457" s="80"/>
      <c r="E457" s="78"/>
      <c r="F457" s="75"/>
      <c r="G457" s="75"/>
      <c r="H457" s="76"/>
      <c r="I457" s="50" t="str">
        <f aca="false">IF(AND(C457="",B457="",D457=""),"",IF(C457="","⚠ Pick supplier",IF(ISNA(MATCH(C457,Suppliers!$B$7:$B$106,0)),"⚠ Supplier not in list",IF(B457="","⚠ Enter date",IF(N(D457)&lt;=0,"⚠ Enter amount",IF(AND(F457&lt;&gt;"",NOT(COUNTIFS(Bills!$D$8:$D$507,C457,Bills!$C$8:$C$507,F457)&gt;0)),"⚠ Bill not found – treated as on account",IF(F457="","✔ On account","✔")))))))</f>
        <v/>
      </c>
      <c r="J457" s="9" t="n">
        <f aca="false">IF(C457="",0,IF(F457="",N(D457),IF(COUNTIFS(Bills!$D$8:$D$507,C457,Bills!$C$8:$C$507,F457)&gt;0,0,N(D457))))</f>
        <v>0</v>
      </c>
    </row>
    <row r="458" customFormat="false" ht="15" hidden="false" customHeight="false" outlineLevel="0" collapsed="false">
      <c r="A458" s="40" t="str">
        <f aca="false">IF(C458="","",ROW()-7)</f>
        <v/>
      </c>
      <c r="B458" s="79"/>
      <c r="C458" s="76"/>
      <c r="D458" s="80"/>
      <c r="E458" s="78"/>
      <c r="F458" s="75"/>
      <c r="G458" s="75"/>
      <c r="H458" s="76"/>
      <c r="I458" s="50" t="str">
        <f aca="false">IF(AND(C458="",B458="",D458=""),"",IF(C458="","⚠ Pick supplier",IF(ISNA(MATCH(C458,Suppliers!$B$7:$B$106,0)),"⚠ Supplier not in list",IF(B458="","⚠ Enter date",IF(N(D458)&lt;=0,"⚠ Enter amount",IF(AND(F458&lt;&gt;"",NOT(COUNTIFS(Bills!$D$8:$D$507,C458,Bills!$C$8:$C$507,F458)&gt;0)),"⚠ Bill not found – treated as on account",IF(F458="","✔ On account","✔")))))))</f>
        <v/>
      </c>
      <c r="J458" s="9" t="n">
        <f aca="false">IF(C458="",0,IF(F458="",N(D458),IF(COUNTIFS(Bills!$D$8:$D$507,C458,Bills!$C$8:$C$507,F458)&gt;0,0,N(D458))))</f>
        <v>0</v>
      </c>
    </row>
    <row r="459" customFormat="false" ht="15" hidden="false" customHeight="false" outlineLevel="0" collapsed="false">
      <c r="A459" s="40" t="str">
        <f aca="false">IF(C459="","",ROW()-7)</f>
        <v/>
      </c>
      <c r="B459" s="79"/>
      <c r="C459" s="76"/>
      <c r="D459" s="80"/>
      <c r="E459" s="78"/>
      <c r="F459" s="75"/>
      <c r="G459" s="75"/>
      <c r="H459" s="76"/>
      <c r="I459" s="50" t="str">
        <f aca="false">IF(AND(C459="",B459="",D459=""),"",IF(C459="","⚠ Pick supplier",IF(ISNA(MATCH(C459,Suppliers!$B$7:$B$106,0)),"⚠ Supplier not in list",IF(B459="","⚠ Enter date",IF(N(D459)&lt;=0,"⚠ Enter amount",IF(AND(F459&lt;&gt;"",NOT(COUNTIFS(Bills!$D$8:$D$507,C459,Bills!$C$8:$C$507,F459)&gt;0)),"⚠ Bill not found – treated as on account",IF(F459="","✔ On account","✔")))))))</f>
        <v/>
      </c>
      <c r="J459" s="9" t="n">
        <f aca="false">IF(C459="",0,IF(F459="",N(D459),IF(COUNTIFS(Bills!$D$8:$D$507,C459,Bills!$C$8:$C$507,F459)&gt;0,0,N(D459))))</f>
        <v>0</v>
      </c>
    </row>
    <row r="460" customFormat="false" ht="15" hidden="false" customHeight="false" outlineLevel="0" collapsed="false">
      <c r="A460" s="40" t="str">
        <f aca="false">IF(C460="","",ROW()-7)</f>
        <v/>
      </c>
      <c r="B460" s="79"/>
      <c r="C460" s="76"/>
      <c r="D460" s="80"/>
      <c r="E460" s="78"/>
      <c r="F460" s="75"/>
      <c r="G460" s="75"/>
      <c r="H460" s="76"/>
      <c r="I460" s="50" t="str">
        <f aca="false">IF(AND(C460="",B460="",D460=""),"",IF(C460="","⚠ Pick supplier",IF(ISNA(MATCH(C460,Suppliers!$B$7:$B$106,0)),"⚠ Supplier not in list",IF(B460="","⚠ Enter date",IF(N(D460)&lt;=0,"⚠ Enter amount",IF(AND(F460&lt;&gt;"",NOT(COUNTIFS(Bills!$D$8:$D$507,C460,Bills!$C$8:$C$507,F460)&gt;0)),"⚠ Bill not found – treated as on account",IF(F460="","✔ On account","✔")))))))</f>
        <v/>
      </c>
      <c r="J460" s="9" t="n">
        <f aca="false">IF(C460="",0,IF(F460="",N(D460),IF(COUNTIFS(Bills!$D$8:$D$507,C460,Bills!$C$8:$C$507,F460)&gt;0,0,N(D460))))</f>
        <v>0</v>
      </c>
    </row>
    <row r="461" customFormat="false" ht="15" hidden="false" customHeight="false" outlineLevel="0" collapsed="false">
      <c r="A461" s="40" t="str">
        <f aca="false">IF(C461="","",ROW()-7)</f>
        <v/>
      </c>
      <c r="B461" s="79"/>
      <c r="C461" s="76"/>
      <c r="D461" s="80"/>
      <c r="E461" s="78"/>
      <c r="F461" s="75"/>
      <c r="G461" s="75"/>
      <c r="H461" s="76"/>
      <c r="I461" s="50" t="str">
        <f aca="false">IF(AND(C461="",B461="",D461=""),"",IF(C461="","⚠ Pick supplier",IF(ISNA(MATCH(C461,Suppliers!$B$7:$B$106,0)),"⚠ Supplier not in list",IF(B461="","⚠ Enter date",IF(N(D461)&lt;=0,"⚠ Enter amount",IF(AND(F461&lt;&gt;"",NOT(COUNTIFS(Bills!$D$8:$D$507,C461,Bills!$C$8:$C$507,F461)&gt;0)),"⚠ Bill not found – treated as on account",IF(F461="","✔ On account","✔")))))))</f>
        <v/>
      </c>
      <c r="J461" s="9" t="n">
        <f aca="false">IF(C461="",0,IF(F461="",N(D461),IF(COUNTIFS(Bills!$D$8:$D$507,C461,Bills!$C$8:$C$507,F461)&gt;0,0,N(D461))))</f>
        <v>0</v>
      </c>
    </row>
    <row r="462" customFormat="false" ht="15" hidden="false" customHeight="false" outlineLevel="0" collapsed="false">
      <c r="A462" s="40" t="str">
        <f aca="false">IF(C462="","",ROW()-7)</f>
        <v/>
      </c>
      <c r="B462" s="79"/>
      <c r="C462" s="76"/>
      <c r="D462" s="80"/>
      <c r="E462" s="78"/>
      <c r="F462" s="75"/>
      <c r="G462" s="75"/>
      <c r="H462" s="76"/>
      <c r="I462" s="50" t="str">
        <f aca="false">IF(AND(C462="",B462="",D462=""),"",IF(C462="","⚠ Pick supplier",IF(ISNA(MATCH(C462,Suppliers!$B$7:$B$106,0)),"⚠ Supplier not in list",IF(B462="","⚠ Enter date",IF(N(D462)&lt;=0,"⚠ Enter amount",IF(AND(F462&lt;&gt;"",NOT(COUNTIFS(Bills!$D$8:$D$507,C462,Bills!$C$8:$C$507,F462)&gt;0)),"⚠ Bill not found – treated as on account",IF(F462="","✔ On account","✔")))))))</f>
        <v/>
      </c>
      <c r="J462" s="9" t="n">
        <f aca="false">IF(C462="",0,IF(F462="",N(D462),IF(COUNTIFS(Bills!$D$8:$D$507,C462,Bills!$C$8:$C$507,F462)&gt;0,0,N(D462))))</f>
        <v>0</v>
      </c>
    </row>
    <row r="463" customFormat="false" ht="15" hidden="false" customHeight="false" outlineLevel="0" collapsed="false">
      <c r="A463" s="40" t="str">
        <f aca="false">IF(C463="","",ROW()-7)</f>
        <v/>
      </c>
      <c r="B463" s="79"/>
      <c r="C463" s="76"/>
      <c r="D463" s="80"/>
      <c r="E463" s="78"/>
      <c r="F463" s="75"/>
      <c r="G463" s="75"/>
      <c r="H463" s="76"/>
      <c r="I463" s="50" t="str">
        <f aca="false">IF(AND(C463="",B463="",D463=""),"",IF(C463="","⚠ Pick supplier",IF(ISNA(MATCH(C463,Suppliers!$B$7:$B$106,0)),"⚠ Supplier not in list",IF(B463="","⚠ Enter date",IF(N(D463)&lt;=0,"⚠ Enter amount",IF(AND(F463&lt;&gt;"",NOT(COUNTIFS(Bills!$D$8:$D$507,C463,Bills!$C$8:$C$507,F463)&gt;0)),"⚠ Bill not found – treated as on account",IF(F463="","✔ On account","✔")))))))</f>
        <v/>
      </c>
      <c r="J463" s="9" t="n">
        <f aca="false">IF(C463="",0,IF(F463="",N(D463),IF(COUNTIFS(Bills!$D$8:$D$507,C463,Bills!$C$8:$C$507,F463)&gt;0,0,N(D463))))</f>
        <v>0</v>
      </c>
    </row>
    <row r="464" customFormat="false" ht="15" hidden="false" customHeight="false" outlineLevel="0" collapsed="false">
      <c r="A464" s="40" t="str">
        <f aca="false">IF(C464="","",ROW()-7)</f>
        <v/>
      </c>
      <c r="B464" s="79"/>
      <c r="C464" s="76"/>
      <c r="D464" s="80"/>
      <c r="E464" s="78"/>
      <c r="F464" s="75"/>
      <c r="G464" s="75"/>
      <c r="H464" s="76"/>
      <c r="I464" s="50" t="str">
        <f aca="false">IF(AND(C464="",B464="",D464=""),"",IF(C464="","⚠ Pick supplier",IF(ISNA(MATCH(C464,Suppliers!$B$7:$B$106,0)),"⚠ Supplier not in list",IF(B464="","⚠ Enter date",IF(N(D464)&lt;=0,"⚠ Enter amount",IF(AND(F464&lt;&gt;"",NOT(COUNTIFS(Bills!$D$8:$D$507,C464,Bills!$C$8:$C$507,F464)&gt;0)),"⚠ Bill not found – treated as on account",IF(F464="","✔ On account","✔")))))))</f>
        <v/>
      </c>
      <c r="J464" s="9" t="n">
        <f aca="false">IF(C464="",0,IF(F464="",N(D464),IF(COUNTIFS(Bills!$D$8:$D$507,C464,Bills!$C$8:$C$507,F464)&gt;0,0,N(D464))))</f>
        <v>0</v>
      </c>
    </row>
    <row r="465" customFormat="false" ht="15" hidden="false" customHeight="false" outlineLevel="0" collapsed="false">
      <c r="A465" s="40" t="str">
        <f aca="false">IF(C465="","",ROW()-7)</f>
        <v/>
      </c>
      <c r="B465" s="79"/>
      <c r="C465" s="76"/>
      <c r="D465" s="80"/>
      <c r="E465" s="78"/>
      <c r="F465" s="75"/>
      <c r="G465" s="75"/>
      <c r="H465" s="76"/>
      <c r="I465" s="50" t="str">
        <f aca="false">IF(AND(C465="",B465="",D465=""),"",IF(C465="","⚠ Pick supplier",IF(ISNA(MATCH(C465,Suppliers!$B$7:$B$106,0)),"⚠ Supplier not in list",IF(B465="","⚠ Enter date",IF(N(D465)&lt;=0,"⚠ Enter amount",IF(AND(F465&lt;&gt;"",NOT(COUNTIFS(Bills!$D$8:$D$507,C465,Bills!$C$8:$C$507,F465)&gt;0)),"⚠ Bill not found – treated as on account",IF(F465="","✔ On account","✔")))))))</f>
        <v/>
      </c>
      <c r="J465" s="9" t="n">
        <f aca="false">IF(C465="",0,IF(F465="",N(D465),IF(COUNTIFS(Bills!$D$8:$D$507,C465,Bills!$C$8:$C$507,F465)&gt;0,0,N(D465))))</f>
        <v>0</v>
      </c>
    </row>
    <row r="466" customFormat="false" ht="15" hidden="false" customHeight="false" outlineLevel="0" collapsed="false">
      <c r="A466" s="40" t="str">
        <f aca="false">IF(C466="","",ROW()-7)</f>
        <v/>
      </c>
      <c r="B466" s="79"/>
      <c r="C466" s="76"/>
      <c r="D466" s="80"/>
      <c r="E466" s="78"/>
      <c r="F466" s="75"/>
      <c r="G466" s="75"/>
      <c r="H466" s="76"/>
      <c r="I466" s="50" t="str">
        <f aca="false">IF(AND(C466="",B466="",D466=""),"",IF(C466="","⚠ Pick supplier",IF(ISNA(MATCH(C466,Suppliers!$B$7:$B$106,0)),"⚠ Supplier not in list",IF(B466="","⚠ Enter date",IF(N(D466)&lt;=0,"⚠ Enter amount",IF(AND(F466&lt;&gt;"",NOT(COUNTIFS(Bills!$D$8:$D$507,C466,Bills!$C$8:$C$507,F466)&gt;0)),"⚠ Bill not found – treated as on account",IF(F466="","✔ On account","✔")))))))</f>
        <v/>
      </c>
      <c r="J466" s="9" t="n">
        <f aca="false">IF(C466="",0,IF(F466="",N(D466),IF(COUNTIFS(Bills!$D$8:$D$507,C466,Bills!$C$8:$C$507,F466)&gt;0,0,N(D466))))</f>
        <v>0</v>
      </c>
    </row>
    <row r="467" customFormat="false" ht="15" hidden="false" customHeight="false" outlineLevel="0" collapsed="false">
      <c r="A467" s="40" t="str">
        <f aca="false">IF(C467="","",ROW()-7)</f>
        <v/>
      </c>
      <c r="B467" s="79"/>
      <c r="C467" s="76"/>
      <c r="D467" s="80"/>
      <c r="E467" s="78"/>
      <c r="F467" s="75"/>
      <c r="G467" s="75"/>
      <c r="H467" s="76"/>
      <c r="I467" s="50" t="str">
        <f aca="false">IF(AND(C467="",B467="",D467=""),"",IF(C467="","⚠ Pick supplier",IF(ISNA(MATCH(C467,Suppliers!$B$7:$B$106,0)),"⚠ Supplier not in list",IF(B467="","⚠ Enter date",IF(N(D467)&lt;=0,"⚠ Enter amount",IF(AND(F467&lt;&gt;"",NOT(COUNTIFS(Bills!$D$8:$D$507,C467,Bills!$C$8:$C$507,F467)&gt;0)),"⚠ Bill not found – treated as on account",IF(F467="","✔ On account","✔")))))))</f>
        <v/>
      </c>
      <c r="J467" s="9" t="n">
        <f aca="false">IF(C467="",0,IF(F467="",N(D467),IF(COUNTIFS(Bills!$D$8:$D$507,C467,Bills!$C$8:$C$507,F467)&gt;0,0,N(D467))))</f>
        <v>0</v>
      </c>
    </row>
    <row r="468" customFormat="false" ht="15" hidden="false" customHeight="false" outlineLevel="0" collapsed="false">
      <c r="A468" s="40" t="str">
        <f aca="false">IF(C468="","",ROW()-7)</f>
        <v/>
      </c>
      <c r="B468" s="79"/>
      <c r="C468" s="76"/>
      <c r="D468" s="80"/>
      <c r="E468" s="78"/>
      <c r="F468" s="75"/>
      <c r="G468" s="75"/>
      <c r="H468" s="76"/>
      <c r="I468" s="50" t="str">
        <f aca="false">IF(AND(C468="",B468="",D468=""),"",IF(C468="","⚠ Pick supplier",IF(ISNA(MATCH(C468,Suppliers!$B$7:$B$106,0)),"⚠ Supplier not in list",IF(B468="","⚠ Enter date",IF(N(D468)&lt;=0,"⚠ Enter amount",IF(AND(F468&lt;&gt;"",NOT(COUNTIFS(Bills!$D$8:$D$507,C468,Bills!$C$8:$C$507,F468)&gt;0)),"⚠ Bill not found – treated as on account",IF(F468="","✔ On account","✔")))))))</f>
        <v/>
      </c>
      <c r="J468" s="9" t="n">
        <f aca="false">IF(C468="",0,IF(F468="",N(D468),IF(COUNTIFS(Bills!$D$8:$D$507,C468,Bills!$C$8:$C$507,F468)&gt;0,0,N(D468))))</f>
        <v>0</v>
      </c>
    </row>
    <row r="469" customFormat="false" ht="15" hidden="false" customHeight="false" outlineLevel="0" collapsed="false">
      <c r="A469" s="40" t="str">
        <f aca="false">IF(C469="","",ROW()-7)</f>
        <v/>
      </c>
      <c r="B469" s="79"/>
      <c r="C469" s="76"/>
      <c r="D469" s="80"/>
      <c r="E469" s="78"/>
      <c r="F469" s="75"/>
      <c r="G469" s="75"/>
      <c r="H469" s="76"/>
      <c r="I469" s="50" t="str">
        <f aca="false">IF(AND(C469="",B469="",D469=""),"",IF(C469="","⚠ Pick supplier",IF(ISNA(MATCH(C469,Suppliers!$B$7:$B$106,0)),"⚠ Supplier not in list",IF(B469="","⚠ Enter date",IF(N(D469)&lt;=0,"⚠ Enter amount",IF(AND(F469&lt;&gt;"",NOT(COUNTIFS(Bills!$D$8:$D$507,C469,Bills!$C$8:$C$507,F469)&gt;0)),"⚠ Bill not found – treated as on account",IF(F469="","✔ On account","✔")))))))</f>
        <v/>
      </c>
      <c r="J469" s="9" t="n">
        <f aca="false">IF(C469="",0,IF(F469="",N(D469),IF(COUNTIFS(Bills!$D$8:$D$507,C469,Bills!$C$8:$C$507,F469)&gt;0,0,N(D469))))</f>
        <v>0</v>
      </c>
    </row>
    <row r="470" customFormat="false" ht="15" hidden="false" customHeight="false" outlineLevel="0" collapsed="false">
      <c r="A470" s="40" t="str">
        <f aca="false">IF(C470="","",ROW()-7)</f>
        <v/>
      </c>
      <c r="B470" s="79"/>
      <c r="C470" s="76"/>
      <c r="D470" s="80"/>
      <c r="E470" s="78"/>
      <c r="F470" s="75"/>
      <c r="G470" s="75"/>
      <c r="H470" s="76"/>
      <c r="I470" s="50" t="str">
        <f aca="false">IF(AND(C470="",B470="",D470=""),"",IF(C470="","⚠ Pick supplier",IF(ISNA(MATCH(C470,Suppliers!$B$7:$B$106,0)),"⚠ Supplier not in list",IF(B470="","⚠ Enter date",IF(N(D470)&lt;=0,"⚠ Enter amount",IF(AND(F470&lt;&gt;"",NOT(COUNTIFS(Bills!$D$8:$D$507,C470,Bills!$C$8:$C$507,F470)&gt;0)),"⚠ Bill not found – treated as on account",IF(F470="","✔ On account","✔")))))))</f>
        <v/>
      </c>
      <c r="J470" s="9" t="n">
        <f aca="false">IF(C470="",0,IF(F470="",N(D470),IF(COUNTIFS(Bills!$D$8:$D$507,C470,Bills!$C$8:$C$507,F470)&gt;0,0,N(D470))))</f>
        <v>0</v>
      </c>
    </row>
    <row r="471" customFormat="false" ht="15" hidden="false" customHeight="false" outlineLevel="0" collapsed="false">
      <c r="A471" s="40" t="str">
        <f aca="false">IF(C471="","",ROW()-7)</f>
        <v/>
      </c>
      <c r="B471" s="79"/>
      <c r="C471" s="76"/>
      <c r="D471" s="80"/>
      <c r="E471" s="78"/>
      <c r="F471" s="75"/>
      <c r="G471" s="75"/>
      <c r="H471" s="76"/>
      <c r="I471" s="50" t="str">
        <f aca="false">IF(AND(C471="",B471="",D471=""),"",IF(C471="","⚠ Pick supplier",IF(ISNA(MATCH(C471,Suppliers!$B$7:$B$106,0)),"⚠ Supplier not in list",IF(B471="","⚠ Enter date",IF(N(D471)&lt;=0,"⚠ Enter amount",IF(AND(F471&lt;&gt;"",NOT(COUNTIFS(Bills!$D$8:$D$507,C471,Bills!$C$8:$C$507,F471)&gt;0)),"⚠ Bill not found – treated as on account",IF(F471="","✔ On account","✔")))))))</f>
        <v/>
      </c>
      <c r="J471" s="9" t="n">
        <f aca="false">IF(C471="",0,IF(F471="",N(D471),IF(COUNTIFS(Bills!$D$8:$D$507,C471,Bills!$C$8:$C$507,F471)&gt;0,0,N(D471))))</f>
        <v>0</v>
      </c>
    </row>
    <row r="472" customFormat="false" ht="15" hidden="false" customHeight="false" outlineLevel="0" collapsed="false">
      <c r="A472" s="40" t="str">
        <f aca="false">IF(C472="","",ROW()-7)</f>
        <v/>
      </c>
      <c r="B472" s="79"/>
      <c r="C472" s="76"/>
      <c r="D472" s="80"/>
      <c r="E472" s="78"/>
      <c r="F472" s="75"/>
      <c r="G472" s="75"/>
      <c r="H472" s="76"/>
      <c r="I472" s="50" t="str">
        <f aca="false">IF(AND(C472="",B472="",D472=""),"",IF(C472="","⚠ Pick supplier",IF(ISNA(MATCH(C472,Suppliers!$B$7:$B$106,0)),"⚠ Supplier not in list",IF(B472="","⚠ Enter date",IF(N(D472)&lt;=0,"⚠ Enter amount",IF(AND(F472&lt;&gt;"",NOT(COUNTIFS(Bills!$D$8:$D$507,C472,Bills!$C$8:$C$507,F472)&gt;0)),"⚠ Bill not found – treated as on account",IF(F472="","✔ On account","✔")))))))</f>
        <v/>
      </c>
      <c r="J472" s="9" t="n">
        <f aca="false">IF(C472="",0,IF(F472="",N(D472),IF(COUNTIFS(Bills!$D$8:$D$507,C472,Bills!$C$8:$C$507,F472)&gt;0,0,N(D472))))</f>
        <v>0</v>
      </c>
    </row>
    <row r="473" customFormat="false" ht="15" hidden="false" customHeight="false" outlineLevel="0" collapsed="false">
      <c r="A473" s="40" t="str">
        <f aca="false">IF(C473="","",ROW()-7)</f>
        <v/>
      </c>
      <c r="B473" s="79"/>
      <c r="C473" s="76"/>
      <c r="D473" s="80"/>
      <c r="E473" s="78"/>
      <c r="F473" s="75"/>
      <c r="G473" s="75"/>
      <c r="H473" s="76"/>
      <c r="I473" s="50" t="str">
        <f aca="false">IF(AND(C473="",B473="",D473=""),"",IF(C473="","⚠ Pick supplier",IF(ISNA(MATCH(C473,Suppliers!$B$7:$B$106,0)),"⚠ Supplier not in list",IF(B473="","⚠ Enter date",IF(N(D473)&lt;=0,"⚠ Enter amount",IF(AND(F473&lt;&gt;"",NOT(COUNTIFS(Bills!$D$8:$D$507,C473,Bills!$C$8:$C$507,F473)&gt;0)),"⚠ Bill not found – treated as on account",IF(F473="","✔ On account","✔")))))))</f>
        <v/>
      </c>
      <c r="J473" s="9" t="n">
        <f aca="false">IF(C473="",0,IF(F473="",N(D473),IF(COUNTIFS(Bills!$D$8:$D$507,C473,Bills!$C$8:$C$507,F473)&gt;0,0,N(D473))))</f>
        <v>0</v>
      </c>
    </row>
    <row r="474" customFormat="false" ht="15" hidden="false" customHeight="false" outlineLevel="0" collapsed="false">
      <c r="A474" s="40" t="str">
        <f aca="false">IF(C474="","",ROW()-7)</f>
        <v/>
      </c>
      <c r="B474" s="79"/>
      <c r="C474" s="76"/>
      <c r="D474" s="80"/>
      <c r="E474" s="78"/>
      <c r="F474" s="75"/>
      <c r="G474" s="75"/>
      <c r="H474" s="76"/>
      <c r="I474" s="50" t="str">
        <f aca="false">IF(AND(C474="",B474="",D474=""),"",IF(C474="","⚠ Pick supplier",IF(ISNA(MATCH(C474,Suppliers!$B$7:$B$106,0)),"⚠ Supplier not in list",IF(B474="","⚠ Enter date",IF(N(D474)&lt;=0,"⚠ Enter amount",IF(AND(F474&lt;&gt;"",NOT(COUNTIFS(Bills!$D$8:$D$507,C474,Bills!$C$8:$C$507,F474)&gt;0)),"⚠ Bill not found – treated as on account",IF(F474="","✔ On account","✔")))))))</f>
        <v/>
      </c>
      <c r="J474" s="9" t="n">
        <f aca="false">IF(C474="",0,IF(F474="",N(D474),IF(COUNTIFS(Bills!$D$8:$D$507,C474,Bills!$C$8:$C$507,F474)&gt;0,0,N(D474))))</f>
        <v>0</v>
      </c>
    </row>
    <row r="475" customFormat="false" ht="15" hidden="false" customHeight="false" outlineLevel="0" collapsed="false">
      <c r="A475" s="40" t="str">
        <f aca="false">IF(C475="","",ROW()-7)</f>
        <v/>
      </c>
      <c r="B475" s="79"/>
      <c r="C475" s="76"/>
      <c r="D475" s="80"/>
      <c r="E475" s="78"/>
      <c r="F475" s="75"/>
      <c r="G475" s="75"/>
      <c r="H475" s="76"/>
      <c r="I475" s="50" t="str">
        <f aca="false">IF(AND(C475="",B475="",D475=""),"",IF(C475="","⚠ Pick supplier",IF(ISNA(MATCH(C475,Suppliers!$B$7:$B$106,0)),"⚠ Supplier not in list",IF(B475="","⚠ Enter date",IF(N(D475)&lt;=0,"⚠ Enter amount",IF(AND(F475&lt;&gt;"",NOT(COUNTIFS(Bills!$D$8:$D$507,C475,Bills!$C$8:$C$507,F475)&gt;0)),"⚠ Bill not found – treated as on account",IF(F475="","✔ On account","✔")))))))</f>
        <v/>
      </c>
      <c r="J475" s="9" t="n">
        <f aca="false">IF(C475="",0,IF(F475="",N(D475),IF(COUNTIFS(Bills!$D$8:$D$507,C475,Bills!$C$8:$C$507,F475)&gt;0,0,N(D475))))</f>
        <v>0</v>
      </c>
    </row>
    <row r="476" customFormat="false" ht="15" hidden="false" customHeight="false" outlineLevel="0" collapsed="false">
      <c r="A476" s="40" t="str">
        <f aca="false">IF(C476="","",ROW()-7)</f>
        <v/>
      </c>
      <c r="B476" s="79"/>
      <c r="C476" s="76"/>
      <c r="D476" s="80"/>
      <c r="E476" s="78"/>
      <c r="F476" s="75"/>
      <c r="G476" s="75"/>
      <c r="H476" s="76"/>
      <c r="I476" s="50" t="str">
        <f aca="false">IF(AND(C476="",B476="",D476=""),"",IF(C476="","⚠ Pick supplier",IF(ISNA(MATCH(C476,Suppliers!$B$7:$B$106,0)),"⚠ Supplier not in list",IF(B476="","⚠ Enter date",IF(N(D476)&lt;=0,"⚠ Enter amount",IF(AND(F476&lt;&gt;"",NOT(COUNTIFS(Bills!$D$8:$D$507,C476,Bills!$C$8:$C$507,F476)&gt;0)),"⚠ Bill not found – treated as on account",IF(F476="","✔ On account","✔")))))))</f>
        <v/>
      </c>
      <c r="J476" s="9" t="n">
        <f aca="false">IF(C476="",0,IF(F476="",N(D476),IF(COUNTIFS(Bills!$D$8:$D$507,C476,Bills!$C$8:$C$507,F476)&gt;0,0,N(D476))))</f>
        <v>0</v>
      </c>
    </row>
    <row r="477" customFormat="false" ht="15" hidden="false" customHeight="false" outlineLevel="0" collapsed="false">
      <c r="A477" s="40" t="str">
        <f aca="false">IF(C477="","",ROW()-7)</f>
        <v/>
      </c>
      <c r="B477" s="79"/>
      <c r="C477" s="76"/>
      <c r="D477" s="80"/>
      <c r="E477" s="78"/>
      <c r="F477" s="75"/>
      <c r="G477" s="75"/>
      <c r="H477" s="76"/>
      <c r="I477" s="50" t="str">
        <f aca="false">IF(AND(C477="",B477="",D477=""),"",IF(C477="","⚠ Pick supplier",IF(ISNA(MATCH(C477,Suppliers!$B$7:$B$106,0)),"⚠ Supplier not in list",IF(B477="","⚠ Enter date",IF(N(D477)&lt;=0,"⚠ Enter amount",IF(AND(F477&lt;&gt;"",NOT(COUNTIFS(Bills!$D$8:$D$507,C477,Bills!$C$8:$C$507,F477)&gt;0)),"⚠ Bill not found – treated as on account",IF(F477="","✔ On account","✔")))))))</f>
        <v/>
      </c>
      <c r="J477" s="9" t="n">
        <f aca="false">IF(C477="",0,IF(F477="",N(D477),IF(COUNTIFS(Bills!$D$8:$D$507,C477,Bills!$C$8:$C$507,F477)&gt;0,0,N(D477))))</f>
        <v>0</v>
      </c>
    </row>
    <row r="478" customFormat="false" ht="15" hidden="false" customHeight="false" outlineLevel="0" collapsed="false">
      <c r="A478" s="40" t="str">
        <f aca="false">IF(C478="","",ROW()-7)</f>
        <v/>
      </c>
      <c r="B478" s="79"/>
      <c r="C478" s="76"/>
      <c r="D478" s="80"/>
      <c r="E478" s="78"/>
      <c r="F478" s="75"/>
      <c r="G478" s="75"/>
      <c r="H478" s="76"/>
      <c r="I478" s="50" t="str">
        <f aca="false">IF(AND(C478="",B478="",D478=""),"",IF(C478="","⚠ Pick supplier",IF(ISNA(MATCH(C478,Suppliers!$B$7:$B$106,0)),"⚠ Supplier not in list",IF(B478="","⚠ Enter date",IF(N(D478)&lt;=0,"⚠ Enter amount",IF(AND(F478&lt;&gt;"",NOT(COUNTIFS(Bills!$D$8:$D$507,C478,Bills!$C$8:$C$507,F478)&gt;0)),"⚠ Bill not found – treated as on account",IF(F478="","✔ On account","✔")))))))</f>
        <v/>
      </c>
      <c r="J478" s="9" t="n">
        <f aca="false">IF(C478="",0,IF(F478="",N(D478),IF(COUNTIFS(Bills!$D$8:$D$507,C478,Bills!$C$8:$C$507,F478)&gt;0,0,N(D478))))</f>
        <v>0</v>
      </c>
    </row>
    <row r="479" customFormat="false" ht="15" hidden="false" customHeight="false" outlineLevel="0" collapsed="false">
      <c r="A479" s="40" t="str">
        <f aca="false">IF(C479="","",ROW()-7)</f>
        <v/>
      </c>
      <c r="B479" s="79"/>
      <c r="C479" s="76"/>
      <c r="D479" s="80"/>
      <c r="E479" s="78"/>
      <c r="F479" s="75"/>
      <c r="G479" s="75"/>
      <c r="H479" s="76"/>
      <c r="I479" s="50" t="str">
        <f aca="false">IF(AND(C479="",B479="",D479=""),"",IF(C479="","⚠ Pick supplier",IF(ISNA(MATCH(C479,Suppliers!$B$7:$B$106,0)),"⚠ Supplier not in list",IF(B479="","⚠ Enter date",IF(N(D479)&lt;=0,"⚠ Enter amount",IF(AND(F479&lt;&gt;"",NOT(COUNTIFS(Bills!$D$8:$D$507,C479,Bills!$C$8:$C$507,F479)&gt;0)),"⚠ Bill not found – treated as on account",IF(F479="","✔ On account","✔")))))))</f>
        <v/>
      </c>
      <c r="J479" s="9" t="n">
        <f aca="false">IF(C479="",0,IF(F479="",N(D479),IF(COUNTIFS(Bills!$D$8:$D$507,C479,Bills!$C$8:$C$507,F479)&gt;0,0,N(D479))))</f>
        <v>0</v>
      </c>
    </row>
    <row r="480" customFormat="false" ht="15" hidden="false" customHeight="false" outlineLevel="0" collapsed="false">
      <c r="A480" s="40" t="str">
        <f aca="false">IF(C480="","",ROW()-7)</f>
        <v/>
      </c>
      <c r="B480" s="79"/>
      <c r="C480" s="76"/>
      <c r="D480" s="80"/>
      <c r="E480" s="78"/>
      <c r="F480" s="75"/>
      <c r="G480" s="75"/>
      <c r="H480" s="76"/>
      <c r="I480" s="50" t="str">
        <f aca="false">IF(AND(C480="",B480="",D480=""),"",IF(C480="","⚠ Pick supplier",IF(ISNA(MATCH(C480,Suppliers!$B$7:$B$106,0)),"⚠ Supplier not in list",IF(B480="","⚠ Enter date",IF(N(D480)&lt;=0,"⚠ Enter amount",IF(AND(F480&lt;&gt;"",NOT(COUNTIFS(Bills!$D$8:$D$507,C480,Bills!$C$8:$C$507,F480)&gt;0)),"⚠ Bill not found – treated as on account",IF(F480="","✔ On account","✔")))))))</f>
        <v/>
      </c>
      <c r="J480" s="9" t="n">
        <f aca="false">IF(C480="",0,IF(F480="",N(D480),IF(COUNTIFS(Bills!$D$8:$D$507,C480,Bills!$C$8:$C$507,F480)&gt;0,0,N(D480))))</f>
        <v>0</v>
      </c>
    </row>
    <row r="481" customFormat="false" ht="15" hidden="false" customHeight="false" outlineLevel="0" collapsed="false">
      <c r="A481" s="40" t="str">
        <f aca="false">IF(C481="","",ROW()-7)</f>
        <v/>
      </c>
      <c r="B481" s="79"/>
      <c r="C481" s="76"/>
      <c r="D481" s="80"/>
      <c r="E481" s="78"/>
      <c r="F481" s="75"/>
      <c r="G481" s="75"/>
      <c r="H481" s="76"/>
      <c r="I481" s="50" t="str">
        <f aca="false">IF(AND(C481="",B481="",D481=""),"",IF(C481="","⚠ Pick supplier",IF(ISNA(MATCH(C481,Suppliers!$B$7:$B$106,0)),"⚠ Supplier not in list",IF(B481="","⚠ Enter date",IF(N(D481)&lt;=0,"⚠ Enter amount",IF(AND(F481&lt;&gt;"",NOT(COUNTIFS(Bills!$D$8:$D$507,C481,Bills!$C$8:$C$507,F481)&gt;0)),"⚠ Bill not found – treated as on account",IF(F481="","✔ On account","✔")))))))</f>
        <v/>
      </c>
      <c r="J481" s="9" t="n">
        <f aca="false">IF(C481="",0,IF(F481="",N(D481),IF(COUNTIFS(Bills!$D$8:$D$507,C481,Bills!$C$8:$C$507,F481)&gt;0,0,N(D481))))</f>
        <v>0</v>
      </c>
    </row>
    <row r="482" customFormat="false" ht="15" hidden="false" customHeight="false" outlineLevel="0" collapsed="false">
      <c r="A482" s="40" t="str">
        <f aca="false">IF(C482="","",ROW()-7)</f>
        <v/>
      </c>
      <c r="B482" s="79"/>
      <c r="C482" s="76"/>
      <c r="D482" s="80"/>
      <c r="E482" s="78"/>
      <c r="F482" s="75"/>
      <c r="G482" s="75"/>
      <c r="H482" s="76"/>
      <c r="I482" s="50" t="str">
        <f aca="false">IF(AND(C482="",B482="",D482=""),"",IF(C482="","⚠ Pick supplier",IF(ISNA(MATCH(C482,Suppliers!$B$7:$B$106,0)),"⚠ Supplier not in list",IF(B482="","⚠ Enter date",IF(N(D482)&lt;=0,"⚠ Enter amount",IF(AND(F482&lt;&gt;"",NOT(COUNTIFS(Bills!$D$8:$D$507,C482,Bills!$C$8:$C$507,F482)&gt;0)),"⚠ Bill not found – treated as on account",IF(F482="","✔ On account","✔")))))))</f>
        <v/>
      </c>
      <c r="J482" s="9" t="n">
        <f aca="false">IF(C482="",0,IF(F482="",N(D482),IF(COUNTIFS(Bills!$D$8:$D$507,C482,Bills!$C$8:$C$507,F482)&gt;0,0,N(D482))))</f>
        <v>0</v>
      </c>
    </row>
    <row r="483" customFormat="false" ht="15" hidden="false" customHeight="false" outlineLevel="0" collapsed="false">
      <c r="A483" s="40" t="str">
        <f aca="false">IF(C483="","",ROW()-7)</f>
        <v/>
      </c>
      <c r="B483" s="79"/>
      <c r="C483" s="76"/>
      <c r="D483" s="80"/>
      <c r="E483" s="78"/>
      <c r="F483" s="75"/>
      <c r="G483" s="75"/>
      <c r="H483" s="76"/>
      <c r="I483" s="50" t="str">
        <f aca="false">IF(AND(C483="",B483="",D483=""),"",IF(C483="","⚠ Pick supplier",IF(ISNA(MATCH(C483,Suppliers!$B$7:$B$106,0)),"⚠ Supplier not in list",IF(B483="","⚠ Enter date",IF(N(D483)&lt;=0,"⚠ Enter amount",IF(AND(F483&lt;&gt;"",NOT(COUNTIFS(Bills!$D$8:$D$507,C483,Bills!$C$8:$C$507,F483)&gt;0)),"⚠ Bill not found – treated as on account",IF(F483="","✔ On account","✔")))))))</f>
        <v/>
      </c>
      <c r="J483" s="9" t="n">
        <f aca="false">IF(C483="",0,IF(F483="",N(D483),IF(COUNTIFS(Bills!$D$8:$D$507,C483,Bills!$C$8:$C$507,F483)&gt;0,0,N(D483))))</f>
        <v>0</v>
      </c>
    </row>
    <row r="484" customFormat="false" ht="15" hidden="false" customHeight="false" outlineLevel="0" collapsed="false">
      <c r="A484" s="40" t="str">
        <f aca="false">IF(C484="","",ROW()-7)</f>
        <v/>
      </c>
      <c r="B484" s="79"/>
      <c r="C484" s="76"/>
      <c r="D484" s="80"/>
      <c r="E484" s="78"/>
      <c r="F484" s="75"/>
      <c r="G484" s="75"/>
      <c r="H484" s="76"/>
      <c r="I484" s="50" t="str">
        <f aca="false">IF(AND(C484="",B484="",D484=""),"",IF(C484="","⚠ Pick supplier",IF(ISNA(MATCH(C484,Suppliers!$B$7:$B$106,0)),"⚠ Supplier not in list",IF(B484="","⚠ Enter date",IF(N(D484)&lt;=0,"⚠ Enter amount",IF(AND(F484&lt;&gt;"",NOT(COUNTIFS(Bills!$D$8:$D$507,C484,Bills!$C$8:$C$507,F484)&gt;0)),"⚠ Bill not found – treated as on account",IF(F484="","✔ On account","✔")))))))</f>
        <v/>
      </c>
      <c r="J484" s="9" t="n">
        <f aca="false">IF(C484="",0,IF(F484="",N(D484),IF(COUNTIFS(Bills!$D$8:$D$507,C484,Bills!$C$8:$C$507,F484)&gt;0,0,N(D484))))</f>
        <v>0</v>
      </c>
    </row>
    <row r="485" customFormat="false" ht="15" hidden="false" customHeight="false" outlineLevel="0" collapsed="false">
      <c r="A485" s="40" t="str">
        <f aca="false">IF(C485="","",ROW()-7)</f>
        <v/>
      </c>
      <c r="B485" s="79"/>
      <c r="C485" s="76"/>
      <c r="D485" s="80"/>
      <c r="E485" s="78"/>
      <c r="F485" s="75"/>
      <c r="G485" s="75"/>
      <c r="H485" s="76"/>
      <c r="I485" s="50" t="str">
        <f aca="false">IF(AND(C485="",B485="",D485=""),"",IF(C485="","⚠ Pick supplier",IF(ISNA(MATCH(C485,Suppliers!$B$7:$B$106,0)),"⚠ Supplier not in list",IF(B485="","⚠ Enter date",IF(N(D485)&lt;=0,"⚠ Enter amount",IF(AND(F485&lt;&gt;"",NOT(COUNTIFS(Bills!$D$8:$D$507,C485,Bills!$C$8:$C$507,F485)&gt;0)),"⚠ Bill not found – treated as on account",IF(F485="","✔ On account","✔")))))))</f>
        <v/>
      </c>
      <c r="J485" s="9" t="n">
        <f aca="false">IF(C485="",0,IF(F485="",N(D485),IF(COUNTIFS(Bills!$D$8:$D$507,C485,Bills!$C$8:$C$507,F485)&gt;0,0,N(D485))))</f>
        <v>0</v>
      </c>
    </row>
    <row r="486" customFormat="false" ht="15" hidden="false" customHeight="false" outlineLevel="0" collapsed="false">
      <c r="A486" s="40" t="str">
        <f aca="false">IF(C486="","",ROW()-7)</f>
        <v/>
      </c>
      <c r="B486" s="79"/>
      <c r="C486" s="76"/>
      <c r="D486" s="80"/>
      <c r="E486" s="78"/>
      <c r="F486" s="75"/>
      <c r="G486" s="75"/>
      <c r="H486" s="76"/>
      <c r="I486" s="50" t="str">
        <f aca="false">IF(AND(C486="",B486="",D486=""),"",IF(C486="","⚠ Pick supplier",IF(ISNA(MATCH(C486,Suppliers!$B$7:$B$106,0)),"⚠ Supplier not in list",IF(B486="","⚠ Enter date",IF(N(D486)&lt;=0,"⚠ Enter amount",IF(AND(F486&lt;&gt;"",NOT(COUNTIFS(Bills!$D$8:$D$507,C486,Bills!$C$8:$C$507,F486)&gt;0)),"⚠ Bill not found – treated as on account",IF(F486="","✔ On account","✔")))))))</f>
        <v/>
      </c>
      <c r="J486" s="9" t="n">
        <f aca="false">IF(C486="",0,IF(F486="",N(D486),IF(COUNTIFS(Bills!$D$8:$D$507,C486,Bills!$C$8:$C$507,F486)&gt;0,0,N(D486))))</f>
        <v>0</v>
      </c>
    </row>
    <row r="487" customFormat="false" ht="15" hidden="false" customHeight="false" outlineLevel="0" collapsed="false">
      <c r="A487" s="40" t="str">
        <f aca="false">IF(C487="","",ROW()-7)</f>
        <v/>
      </c>
      <c r="B487" s="79"/>
      <c r="C487" s="76"/>
      <c r="D487" s="80"/>
      <c r="E487" s="78"/>
      <c r="F487" s="75"/>
      <c r="G487" s="75"/>
      <c r="H487" s="76"/>
      <c r="I487" s="50" t="str">
        <f aca="false">IF(AND(C487="",B487="",D487=""),"",IF(C487="","⚠ Pick supplier",IF(ISNA(MATCH(C487,Suppliers!$B$7:$B$106,0)),"⚠ Supplier not in list",IF(B487="","⚠ Enter date",IF(N(D487)&lt;=0,"⚠ Enter amount",IF(AND(F487&lt;&gt;"",NOT(COUNTIFS(Bills!$D$8:$D$507,C487,Bills!$C$8:$C$507,F487)&gt;0)),"⚠ Bill not found – treated as on account",IF(F487="","✔ On account","✔")))))))</f>
        <v/>
      </c>
      <c r="J487" s="9" t="n">
        <f aca="false">IF(C487="",0,IF(F487="",N(D487),IF(COUNTIFS(Bills!$D$8:$D$507,C487,Bills!$C$8:$C$507,F487)&gt;0,0,N(D487))))</f>
        <v>0</v>
      </c>
    </row>
    <row r="488" customFormat="false" ht="15" hidden="false" customHeight="false" outlineLevel="0" collapsed="false">
      <c r="A488" s="40" t="str">
        <f aca="false">IF(C488="","",ROW()-7)</f>
        <v/>
      </c>
      <c r="B488" s="79"/>
      <c r="C488" s="76"/>
      <c r="D488" s="80"/>
      <c r="E488" s="78"/>
      <c r="F488" s="75"/>
      <c r="G488" s="75"/>
      <c r="H488" s="76"/>
      <c r="I488" s="50" t="str">
        <f aca="false">IF(AND(C488="",B488="",D488=""),"",IF(C488="","⚠ Pick supplier",IF(ISNA(MATCH(C488,Suppliers!$B$7:$B$106,0)),"⚠ Supplier not in list",IF(B488="","⚠ Enter date",IF(N(D488)&lt;=0,"⚠ Enter amount",IF(AND(F488&lt;&gt;"",NOT(COUNTIFS(Bills!$D$8:$D$507,C488,Bills!$C$8:$C$507,F488)&gt;0)),"⚠ Bill not found – treated as on account",IF(F488="","✔ On account","✔")))))))</f>
        <v/>
      </c>
      <c r="J488" s="9" t="n">
        <f aca="false">IF(C488="",0,IF(F488="",N(D488),IF(COUNTIFS(Bills!$D$8:$D$507,C488,Bills!$C$8:$C$507,F488)&gt;0,0,N(D488))))</f>
        <v>0</v>
      </c>
    </row>
    <row r="489" customFormat="false" ht="15" hidden="false" customHeight="false" outlineLevel="0" collapsed="false">
      <c r="A489" s="40" t="str">
        <f aca="false">IF(C489="","",ROW()-7)</f>
        <v/>
      </c>
      <c r="B489" s="79"/>
      <c r="C489" s="76"/>
      <c r="D489" s="80"/>
      <c r="E489" s="78"/>
      <c r="F489" s="75"/>
      <c r="G489" s="75"/>
      <c r="H489" s="76"/>
      <c r="I489" s="50" t="str">
        <f aca="false">IF(AND(C489="",B489="",D489=""),"",IF(C489="","⚠ Pick supplier",IF(ISNA(MATCH(C489,Suppliers!$B$7:$B$106,0)),"⚠ Supplier not in list",IF(B489="","⚠ Enter date",IF(N(D489)&lt;=0,"⚠ Enter amount",IF(AND(F489&lt;&gt;"",NOT(COUNTIFS(Bills!$D$8:$D$507,C489,Bills!$C$8:$C$507,F489)&gt;0)),"⚠ Bill not found – treated as on account",IF(F489="","✔ On account","✔")))))))</f>
        <v/>
      </c>
      <c r="J489" s="9" t="n">
        <f aca="false">IF(C489="",0,IF(F489="",N(D489),IF(COUNTIFS(Bills!$D$8:$D$507,C489,Bills!$C$8:$C$507,F489)&gt;0,0,N(D489))))</f>
        <v>0</v>
      </c>
    </row>
    <row r="490" customFormat="false" ht="15" hidden="false" customHeight="false" outlineLevel="0" collapsed="false">
      <c r="A490" s="40" t="str">
        <f aca="false">IF(C490="","",ROW()-7)</f>
        <v/>
      </c>
      <c r="B490" s="79"/>
      <c r="C490" s="76"/>
      <c r="D490" s="80"/>
      <c r="E490" s="78"/>
      <c r="F490" s="75"/>
      <c r="G490" s="75"/>
      <c r="H490" s="76"/>
      <c r="I490" s="50" t="str">
        <f aca="false">IF(AND(C490="",B490="",D490=""),"",IF(C490="","⚠ Pick supplier",IF(ISNA(MATCH(C490,Suppliers!$B$7:$B$106,0)),"⚠ Supplier not in list",IF(B490="","⚠ Enter date",IF(N(D490)&lt;=0,"⚠ Enter amount",IF(AND(F490&lt;&gt;"",NOT(COUNTIFS(Bills!$D$8:$D$507,C490,Bills!$C$8:$C$507,F490)&gt;0)),"⚠ Bill not found – treated as on account",IF(F490="","✔ On account","✔")))))))</f>
        <v/>
      </c>
      <c r="J490" s="9" t="n">
        <f aca="false">IF(C490="",0,IF(F490="",N(D490),IF(COUNTIFS(Bills!$D$8:$D$507,C490,Bills!$C$8:$C$507,F490)&gt;0,0,N(D490))))</f>
        <v>0</v>
      </c>
    </row>
    <row r="491" customFormat="false" ht="15" hidden="false" customHeight="false" outlineLevel="0" collapsed="false">
      <c r="A491" s="40" t="str">
        <f aca="false">IF(C491="","",ROW()-7)</f>
        <v/>
      </c>
      <c r="B491" s="79"/>
      <c r="C491" s="76"/>
      <c r="D491" s="80"/>
      <c r="E491" s="78"/>
      <c r="F491" s="75"/>
      <c r="G491" s="75"/>
      <c r="H491" s="76"/>
      <c r="I491" s="50" t="str">
        <f aca="false">IF(AND(C491="",B491="",D491=""),"",IF(C491="","⚠ Pick supplier",IF(ISNA(MATCH(C491,Suppliers!$B$7:$B$106,0)),"⚠ Supplier not in list",IF(B491="","⚠ Enter date",IF(N(D491)&lt;=0,"⚠ Enter amount",IF(AND(F491&lt;&gt;"",NOT(COUNTIFS(Bills!$D$8:$D$507,C491,Bills!$C$8:$C$507,F491)&gt;0)),"⚠ Bill not found – treated as on account",IF(F491="","✔ On account","✔")))))))</f>
        <v/>
      </c>
      <c r="J491" s="9" t="n">
        <f aca="false">IF(C491="",0,IF(F491="",N(D491),IF(COUNTIFS(Bills!$D$8:$D$507,C491,Bills!$C$8:$C$507,F491)&gt;0,0,N(D491))))</f>
        <v>0</v>
      </c>
    </row>
    <row r="492" customFormat="false" ht="15" hidden="false" customHeight="false" outlineLevel="0" collapsed="false">
      <c r="A492" s="40" t="str">
        <f aca="false">IF(C492="","",ROW()-7)</f>
        <v/>
      </c>
      <c r="B492" s="79"/>
      <c r="C492" s="76"/>
      <c r="D492" s="80"/>
      <c r="E492" s="78"/>
      <c r="F492" s="75"/>
      <c r="G492" s="75"/>
      <c r="H492" s="76"/>
      <c r="I492" s="50" t="str">
        <f aca="false">IF(AND(C492="",B492="",D492=""),"",IF(C492="","⚠ Pick supplier",IF(ISNA(MATCH(C492,Suppliers!$B$7:$B$106,0)),"⚠ Supplier not in list",IF(B492="","⚠ Enter date",IF(N(D492)&lt;=0,"⚠ Enter amount",IF(AND(F492&lt;&gt;"",NOT(COUNTIFS(Bills!$D$8:$D$507,C492,Bills!$C$8:$C$507,F492)&gt;0)),"⚠ Bill not found – treated as on account",IF(F492="","✔ On account","✔")))))))</f>
        <v/>
      </c>
      <c r="J492" s="9" t="n">
        <f aca="false">IF(C492="",0,IF(F492="",N(D492),IF(COUNTIFS(Bills!$D$8:$D$507,C492,Bills!$C$8:$C$507,F492)&gt;0,0,N(D492))))</f>
        <v>0</v>
      </c>
    </row>
    <row r="493" customFormat="false" ht="15" hidden="false" customHeight="false" outlineLevel="0" collapsed="false">
      <c r="A493" s="40" t="str">
        <f aca="false">IF(C493="","",ROW()-7)</f>
        <v/>
      </c>
      <c r="B493" s="79"/>
      <c r="C493" s="76"/>
      <c r="D493" s="80"/>
      <c r="E493" s="78"/>
      <c r="F493" s="75"/>
      <c r="G493" s="75"/>
      <c r="H493" s="76"/>
      <c r="I493" s="50" t="str">
        <f aca="false">IF(AND(C493="",B493="",D493=""),"",IF(C493="","⚠ Pick supplier",IF(ISNA(MATCH(C493,Suppliers!$B$7:$B$106,0)),"⚠ Supplier not in list",IF(B493="","⚠ Enter date",IF(N(D493)&lt;=0,"⚠ Enter amount",IF(AND(F493&lt;&gt;"",NOT(COUNTIFS(Bills!$D$8:$D$507,C493,Bills!$C$8:$C$507,F493)&gt;0)),"⚠ Bill not found – treated as on account",IF(F493="","✔ On account","✔")))))))</f>
        <v/>
      </c>
      <c r="J493" s="9" t="n">
        <f aca="false">IF(C493="",0,IF(F493="",N(D493),IF(COUNTIFS(Bills!$D$8:$D$507,C493,Bills!$C$8:$C$507,F493)&gt;0,0,N(D493))))</f>
        <v>0</v>
      </c>
    </row>
    <row r="494" customFormat="false" ht="15" hidden="false" customHeight="false" outlineLevel="0" collapsed="false">
      <c r="A494" s="40" t="str">
        <f aca="false">IF(C494="","",ROW()-7)</f>
        <v/>
      </c>
      <c r="B494" s="79"/>
      <c r="C494" s="76"/>
      <c r="D494" s="80"/>
      <c r="E494" s="78"/>
      <c r="F494" s="75"/>
      <c r="G494" s="75"/>
      <c r="H494" s="76"/>
      <c r="I494" s="50" t="str">
        <f aca="false">IF(AND(C494="",B494="",D494=""),"",IF(C494="","⚠ Pick supplier",IF(ISNA(MATCH(C494,Suppliers!$B$7:$B$106,0)),"⚠ Supplier not in list",IF(B494="","⚠ Enter date",IF(N(D494)&lt;=0,"⚠ Enter amount",IF(AND(F494&lt;&gt;"",NOT(COUNTIFS(Bills!$D$8:$D$507,C494,Bills!$C$8:$C$507,F494)&gt;0)),"⚠ Bill not found – treated as on account",IF(F494="","✔ On account","✔")))))))</f>
        <v/>
      </c>
      <c r="J494" s="9" t="n">
        <f aca="false">IF(C494="",0,IF(F494="",N(D494),IF(COUNTIFS(Bills!$D$8:$D$507,C494,Bills!$C$8:$C$507,F494)&gt;0,0,N(D494))))</f>
        <v>0</v>
      </c>
    </row>
    <row r="495" customFormat="false" ht="15" hidden="false" customHeight="false" outlineLevel="0" collapsed="false">
      <c r="A495" s="40" t="str">
        <f aca="false">IF(C495="","",ROW()-7)</f>
        <v/>
      </c>
      <c r="B495" s="79"/>
      <c r="C495" s="76"/>
      <c r="D495" s="80"/>
      <c r="E495" s="78"/>
      <c r="F495" s="75"/>
      <c r="G495" s="75"/>
      <c r="H495" s="76"/>
      <c r="I495" s="50" t="str">
        <f aca="false">IF(AND(C495="",B495="",D495=""),"",IF(C495="","⚠ Pick supplier",IF(ISNA(MATCH(C495,Suppliers!$B$7:$B$106,0)),"⚠ Supplier not in list",IF(B495="","⚠ Enter date",IF(N(D495)&lt;=0,"⚠ Enter amount",IF(AND(F495&lt;&gt;"",NOT(COUNTIFS(Bills!$D$8:$D$507,C495,Bills!$C$8:$C$507,F495)&gt;0)),"⚠ Bill not found – treated as on account",IF(F495="","✔ On account","✔")))))))</f>
        <v/>
      </c>
      <c r="J495" s="9" t="n">
        <f aca="false">IF(C495="",0,IF(F495="",N(D495),IF(COUNTIFS(Bills!$D$8:$D$507,C495,Bills!$C$8:$C$507,F495)&gt;0,0,N(D495))))</f>
        <v>0</v>
      </c>
    </row>
    <row r="496" customFormat="false" ht="15" hidden="false" customHeight="false" outlineLevel="0" collapsed="false">
      <c r="A496" s="40" t="str">
        <f aca="false">IF(C496="","",ROW()-7)</f>
        <v/>
      </c>
      <c r="B496" s="79"/>
      <c r="C496" s="76"/>
      <c r="D496" s="80"/>
      <c r="E496" s="78"/>
      <c r="F496" s="75"/>
      <c r="G496" s="75"/>
      <c r="H496" s="76"/>
      <c r="I496" s="50" t="str">
        <f aca="false">IF(AND(C496="",B496="",D496=""),"",IF(C496="","⚠ Pick supplier",IF(ISNA(MATCH(C496,Suppliers!$B$7:$B$106,0)),"⚠ Supplier not in list",IF(B496="","⚠ Enter date",IF(N(D496)&lt;=0,"⚠ Enter amount",IF(AND(F496&lt;&gt;"",NOT(COUNTIFS(Bills!$D$8:$D$507,C496,Bills!$C$8:$C$507,F496)&gt;0)),"⚠ Bill not found – treated as on account",IF(F496="","✔ On account","✔")))))))</f>
        <v/>
      </c>
      <c r="J496" s="9" t="n">
        <f aca="false">IF(C496="",0,IF(F496="",N(D496),IF(COUNTIFS(Bills!$D$8:$D$507,C496,Bills!$C$8:$C$507,F496)&gt;0,0,N(D496))))</f>
        <v>0</v>
      </c>
    </row>
    <row r="497" customFormat="false" ht="15" hidden="false" customHeight="false" outlineLevel="0" collapsed="false">
      <c r="A497" s="40" t="str">
        <f aca="false">IF(C497="","",ROW()-7)</f>
        <v/>
      </c>
      <c r="B497" s="79"/>
      <c r="C497" s="76"/>
      <c r="D497" s="80"/>
      <c r="E497" s="78"/>
      <c r="F497" s="75"/>
      <c r="G497" s="75"/>
      <c r="H497" s="76"/>
      <c r="I497" s="50" t="str">
        <f aca="false">IF(AND(C497="",B497="",D497=""),"",IF(C497="","⚠ Pick supplier",IF(ISNA(MATCH(C497,Suppliers!$B$7:$B$106,0)),"⚠ Supplier not in list",IF(B497="","⚠ Enter date",IF(N(D497)&lt;=0,"⚠ Enter amount",IF(AND(F497&lt;&gt;"",NOT(COUNTIFS(Bills!$D$8:$D$507,C497,Bills!$C$8:$C$507,F497)&gt;0)),"⚠ Bill not found – treated as on account",IF(F497="","✔ On account","✔")))))))</f>
        <v/>
      </c>
      <c r="J497" s="9" t="n">
        <f aca="false">IF(C497="",0,IF(F497="",N(D497),IF(COUNTIFS(Bills!$D$8:$D$507,C497,Bills!$C$8:$C$507,F497)&gt;0,0,N(D497))))</f>
        <v>0</v>
      </c>
    </row>
    <row r="498" customFormat="false" ht="15" hidden="false" customHeight="false" outlineLevel="0" collapsed="false">
      <c r="A498" s="40" t="str">
        <f aca="false">IF(C498="","",ROW()-7)</f>
        <v/>
      </c>
      <c r="B498" s="79"/>
      <c r="C498" s="76"/>
      <c r="D498" s="80"/>
      <c r="E498" s="78"/>
      <c r="F498" s="75"/>
      <c r="G498" s="75"/>
      <c r="H498" s="76"/>
      <c r="I498" s="50" t="str">
        <f aca="false">IF(AND(C498="",B498="",D498=""),"",IF(C498="","⚠ Pick supplier",IF(ISNA(MATCH(C498,Suppliers!$B$7:$B$106,0)),"⚠ Supplier not in list",IF(B498="","⚠ Enter date",IF(N(D498)&lt;=0,"⚠ Enter amount",IF(AND(F498&lt;&gt;"",NOT(COUNTIFS(Bills!$D$8:$D$507,C498,Bills!$C$8:$C$507,F498)&gt;0)),"⚠ Bill not found – treated as on account",IF(F498="","✔ On account","✔")))))))</f>
        <v/>
      </c>
      <c r="J498" s="9" t="n">
        <f aca="false">IF(C498="",0,IF(F498="",N(D498),IF(COUNTIFS(Bills!$D$8:$D$507,C498,Bills!$C$8:$C$507,F498)&gt;0,0,N(D498))))</f>
        <v>0</v>
      </c>
    </row>
    <row r="499" customFormat="false" ht="15" hidden="false" customHeight="false" outlineLevel="0" collapsed="false">
      <c r="A499" s="40" t="str">
        <f aca="false">IF(C499="","",ROW()-7)</f>
        <v/>
      </c>
      <c r="B499" s="79"/>
      <c r="C499" s="76"/>
      <c r="D499" s="80"/>
      <c r="E499" s="78"/>
      <c r="F499" s="75"/>
      <c r="G499" s="75"/>
      <c r="H499" s="76"/>
      <c r="I499" s="50" t="str">
        <f aca="false">IF(AND(C499="",B499="",D499=""),"",IF(C499="","⚠ Pick supplier",IF(ISNA(MATCH(C499,Suppliers!$B$7:$B$106,0)),"⚠ Supplier not in list",IF(B499="","⚠ Enter date",IF(N(D499)&lt;=0,"⚠ Enter amount",IF(AND(F499&lt;&gt;"",NOT(COUNTIFS(Bills!$D$8:$D$507,C499,Bills!$C$8:$C$507,F499)&gt;0)),"⚠ Bill not found – treated as on account",IF(F499="","✔ On account","✔")))))))</f>
        <v/>
      </c>
      <c r="J499" s="9" t="n">
        <f aca="false">IF(C499="",0,IF(F499="",N(D499),IF(COUNTIFS(Bills!$D$8:$D$507,C499,Bills!$C$8:$C$507,F499)&gt;0,0,N(D499))))</f>
        <v>0</v>
      </c>
    </row>
    <row r="500" customFormat="false" ht="15" hidden="false" customHeight="false" outlineLevel="0" collapsed="false">
      <c r="A500" s="40" t="str">
        <f aca="false">IF(C500="","",ROW()-7)</f>
        <v/>
      </c>
      <c r="B500" s="79"/>
      <c r="C500" s="76"/>
      <c r="D500" s="80"/>
      <c r="E500" s="78"/>
      <c r="F500" s="75"/>
      <c r="G500" s="75"/>
      <c r="H500" s="76"/>
      <c r="I500" s="50" t="str">
        <f aca="false">IF(AND(C500="",B500="",D500=""),"",IF(C500="","⚠ Pick supplier",IF(ISNA(MATCH(C500,Suppliers!$B$7:$B$106,0)),"⚠ Supplier not in list",IF(B500="","⚠ Enter date",IF(N(D500)&lt;=0,"⚠ Enter amount",IF(AND(F500&lt;&gt;"",NOT(COUNTIFS(Bills!$D$8:$D$507,C500,Bills!$C$8:$C$507,F500)&gt;0)),"⚠ Bill not found – treated as on account",IF(F500="","✔ On account","✔")))))))</f>
        <v/>
      </c>
      <c r="J500" s="9" t="n">
        <f aca="false">IF(C500="",0,IF(F500="",N(D500),IF(COUNTIFS(Bills!$D$8:$D$507,C500,Bills!$C$8:$C$507,F500)&gt;0,0,N(D500))))</f>
        <v>0</v>
      </c>
    </row>
    <row r="501" customFormat="false" ht="15" hidden="false" customHeight="false" outlineLevel="0" collapsed="false">
      <c r="A501" s="40" t="str">
        <f aca="false">IF(C501="","",ROW()-7)</f>
        <v/>
      </c>
      <c r="B501" s="79"/>
      <c r="C501" s="76"/>
      <c r="D501" s="80"/>
      <c r="E501" s="78"/>
      <c r="F501" s="75"/>
      <c r="G501" s="75"/>
      <c r="H501" s="76"/>
      <c r="I501" s="50" t="str">
        <f aca="false">IF(AND(C501="",B501="",D501=""),"",IF(C501="","⚠ Pick supplier",IF(ISNA(MATCH(C501,Suppliers!$B$7:$B$106,0)),"⚠ Supplier not in list",IF(B501="","⚠ Enter date",IF(N(D501)&lt;=0,"⚠ Enter amount",IF(AND(F501&lt;&gt;"",NOT(COUNTIFS(Bills!$D$8:$D$507,C501,Bills!$C$8:$C$507,F501)&gt;0)),"⚠ Bill not found – treated as on account",IF(F501="","✔ On account","✔")))))))</f>
        <v/>
      </c>
      <c r="J501" s="9" t="n">
        <f aca="false">IF(C501="",0,IF(F501="",N(D501),IF(COUNTIFS(Bills!$D$8:$D$507,C501,Bills!$C$8:$C$507,F501)&gt;0,0,N(D501))))</f>
        <v>0</v>
      </c>
    </row>
    <row r="502" customFormat="false" ht="15" hidden="false" customHeight="false" outlineLevel="0" collapsed="false">
      <c r="A502" s="40" t="str">
        <f aca="false">IF(C502="","",ROW()-7)</f>
        <v/>
      </c>
      <c r="B502" s="79"/>
      <c r="C502" s="76"/>
      <c r="D502" s="80"/>
      <c r="E502" s="78"/>
      <c r="F502" s="75"/>
      <c r="G502" s="75"/>
      <c r="H502" s="76"/>
      <c r="I502" s="50" t="str">
        <f aca="false">IF(AND(C502="",B502="",D502=""),"",IF(C502="","⚠ Pick supplier",IF(ISNA(MATCH(C502,Suppliers!$B$7:$B$106,0)),"⚠ Supplier not in list",IF(B502="","⚠ Enter date",IF(N(D502)&lt;=0,"⚠ Enter amount",IF(AND(F502&lt;&gt;"",NOT(COUNTIFS(Bills!$D$8:$D$507,C502,Bills!$C$8:$C$507,F502)&gt;0)),"⚠ Bill not found – treated as on account",IF(F502="","✔ On account","✔")))))))</f>
        <v/>
      </c>
      <c r="J502" s="9" t="n">
        <f aca="false">IF(C502="",0,IF(F502="",N(D502),IF(COUNTIFS(Bills!$D$8:$D$507,C502,Bills!$C$8:$C$507,F502)&gt;0,0,N(D502))))</f>
        <v>0</v>
      </c>
    </row>
    <row r="503" customFormat="false" ht="15" hidden="false" customHeight="false" outlineLevel="0" collapsed="false">
      <c r="A503" s="40" t="str">
        <f aca="false">IF(C503="","",ROW()-7)</f>
        <v/>
      </c>
      <c r="B503" s="79"/>
      <c r="C503" s="76"/>
      <c r="D503" s="80"/>
      <c r="E503" s="78"/>
      <c r="F503" s="75"/>
      <c r="G503" s="75"/>
      <c r="H503" s="76"/>
      <c r="I503" s="50" t="str">
        <f aca="false">IF(AND(C503="",B503="",D503=""),"",IF(C503="","⚠ Pick supplier",IF(ISNA(MATCH(C503,Suppliers!$B$7:$B$106,0)),"⚠ Supplier not in list",IF(B503="","⚠ Enter date",IF(N(D503)&lt;=0,"⚠ Enter amount",IF(AND(F503&lt;&gt;"",NOT(COUNTIFS(Bills!$D$8:$D$507,C503,Bills!$C$8:$C$507,F503)&gt;0)),"⚠ Bill not found – treated as on account",IF(F503="","✔ On account","✔")))))))</f>
        <v/>
      </c>
      <c r="J503" s="9" t="n">
        <f aca="false">IF(C503="",0,IF(F503="",N(D503),IF(COUNTIFS(Bills!$D$8:$D$507,C503,Bills!$C$8:$C$507,F503)&gt;0,0,N(D503))))</f>
        <v>0</v>
      </c>
    </row>
    <row r="504" customFormat="false" ht="15" hidden="false" customHeight="false" outlineLevel="0" collapsed="false">
      <c r="A504" s="40" t="str">
        <f aca="false">IF(C504="","",ROW()-7)</f>
        <v/>
      </c>
      <c r="B504" s="79"/>
      <c r="C504" s="76"/>
      <c r="D504" s="80"/>
      <c r="E504" s="78"/>
      <c r="F504" s="75"/>
      <c r="G504" s="75"/>
      <c r="H504" s="76"/>
      <c r="I504" s="50" t="str">
        <f aca="false">IF(AND(C504="",B504="",D504=""),"",IF(C504="","⚠ Pick supplier",IF(ISNA(MATCH(C504,Suppliers!$B$7:$B$106,0)),"⚠ Supplier not in list",IF(B504="","⚠ Enter date",IF(N(D504)&lt;=0,"⚠ Enter amount",IF(AND(F504&lt;&gt;"",NOT(COUNTIFS(Bills!$D$8:$D$507,C504,Bills!$C$8:$C$507,F504)&gt;0)),"⚠ Bill not found – treated as on account",IF(F504="","✔ On account","✔")))))))</f>
        <v/>
      </c>
      <c r="J504" s="9" t="n">
        <f aca="false">IF(C504="",0,IF(F504="",N(D504),IF(COUNTIFS(Bills!$D$8:$D$507,C504,Bills!$C$8:$C$507,F504)&gt;0,0,N(D504))))</f>
        <v>0</v>
      </c>
    </row>
    <row r="505" customFormat="false" ht="15" hidden="false" customHeight="false" outlineLevel="0" collapsed="false">
      <c r="A505" s="40" t="str">
        <f aca="false">IF(C505="","",ROW()-7)</f>
        <v/>
      </c>
      <c r="B505" s="79"/>
      <c r="C505" s="76"/>
      <c r="D505" s="80"/>
      <c r="E505" s="78"/>
      <c r="F505" s="75"/>
      <c r="G505" s="75"/>
      <c r="H505" s="76"/>
      <c r="I505" s="50" t="str">
        <f aca="false">IF(AND(C505="",B505="",D505=""),"",IF(C505="","⚠ Pick supplier",IF(ISNA(MATCH(C505,Suppliers!$B$7:$B$106,0)),"⚠ Supplier not in list",IF(B505="","⚠ Enter date",IF(N(D505)&lt;=0,"⚠ Enter amount",IF(AND(F505&lt;&gt;"",NOT(COUNTIFS(Bills!$D$8:$D$507,C505,Bills!$C$8:$C$507,F505)&gt;0)),"⚠ Bill not found – treated as on account",IF(F505="","✔ On account","✔")))))))</f>
        <v/>
      </c>
      <c r="J505" s="9" t="n">
        <f aca="false">IF(C505="",0,IF(F505="",N(D505),IF(COUNTIFS(Bills!$D$8:$D$507,C505,Bills!$C$8:$C$507,F505)&gt;0,0,N(D505))))</f>
        <v>0</v>
      </c>
    </row>
    <row r="506" customFormat="false" ht="15" hidden="false" customHeight="false" outlineLevel="0" collapsed="false">
      <c r="A506" s="40" t="str">
        <f aca="false">IF(C506="","",ROW()-7)</f>
        <v/>
      </c>
      <c r="B506" s="79"/>
      <c r="C506" s="76"/>
      <c r="D506" s="80"/>
      <c r="E506" s="78"/>
      <c r="F506" s="75"/>
      <c r="G506" s="75"/>
      <c r="H506" s="76"/>
      <c r="I506" s="50" t="str">
        <f aca="false">IF(AND(C506="",B506="",D506=""),"",IF(C506="","⚠ Pick supplier",IF(ISNA(MATCH(C506,Suppliers!$B$7:$B$106,0)),"⚠ Supplier not in list",IF(B506="","⚠ Enter date",IF(N(D506)&lt;=0,"⚠ Enter amount",IF(AND(F506&lt;&gt;"",NOT(COUNTIFS(Bills!$D$8:$D$507,C506,Bills!$C$8:$C$507,F506)&gt;0)),"⚠ Bill not found – treated as on account",IF(F506="","✔ On account","✔")))))))</f>
        <v/>
      </c>
      <c r="J506" s="9" t="n">
        <f aca="false">IF(C506="",0,IF(F506="",N(D506),IF(COUNTIFS(Bills!$D$8:$D$507,C506,Bills!$C$8:$C$507,F506)&gt;0,0,N(D506))))</f>
        <v>0</v>
      </c>
    </row>
    <row r="507" customFormat="false" ht="15" hidden="false" customHeight="false" outlineLevel="0" collapsed="false">
      <c r="A507" s="40" t="str">
        <f aca="false">IF(C507="","",ROW()-7)</f>
        <v/>
      </c>
      <c r="B507" s="79"/>
      <c r="C507" s="76"/>
      <c r="D507" s="80"/>
      <c r="E507" s="78"/>
      <c r="F507" s="75"/>
      <c r="G507" s="75"/>
      <c r="H507" s="76"/>
      <c r="I507" s="50" t="str">
        <f aca="false">IF(AND(C507="",B507="",D507=""),"",IF(C507="","⚠ Pick supplier",IF(ISNA(MATCH(C507,Suppliers!$B$7:$B$106,0)),"⚠ Supplier not in list",IF(B507="","⚠ Enter date",IF(N(D507)&lt;=0,"⚠ Enter amount",IF(AND(F507&lt;&gt;"",NOT(COUNTIFS(Bills!$D$8:$D$507,C507,Bills!$C$8:$C$507,F507)&gt;0)),"⚠ Bill not found – treated as on account",IF(F507="","✔ On account","✔")))))))</f>
        <v/>
      </c>
      <c r="J507" s="9" t="n">
        <f aca="false">IF(C507="",0,IF(F507="",N(D507),IF(COUNTIFS(Bills!$D$8:$D$507,C507,Bills!$C$8:$C$507,F507)&gt;0,0,N(D507))))</f>
        <v>0</v>
      </c>
    </row>
  </sheetData>
  <sheetProtection sheet="1" objects="1" scenarios="1" formatColumns="0" formatRows="0" algorithmName="SHA-512" hashValue="7xOcnRUB+l+e3Pv+xcU+EeauJ8cjKUhY1uQsWWTGbLRabCmSA+9ood/iDLXsnlggQDNf5cmTGzCXOiFz9aFTyA==" saltValue="btWIiMApkcQjBKZ5gsu+IA==" spinCount="100000"/>
  <mergeCells count="2">
    <mergeCell ref="A2:I2"/>
    <mergeCell ref="A3:I3"/>
  </mergeCells>
  <conditionalFormatting sqref="I8:I507">
    <cfRule type="expression" priority="2" aboveAverage="0" equalAverage="0" bottom="0" percent="0" rank="0" text="" dxfId="0">
      <formula>LEFT($I8,1)="⚠"</formula>
    </cfRule>
    <cfRule type="expression" priority="3" aboveAverage="0" equalAverage="0" bottom="0" percent="0" rank="0" text="" dxfId="2">
      <formula>LEFT($I8,1)="✔"</formula>
    </cfRule>
  </conditionalFormatting>
  <dataValidations count="2">
    <dataValidation allowBlank="true" errorStyle="stop" operator="between" showDropDown="false" showErrorMessage="false" showInputMessage="false" sqref="C8:C507" type="list">
      <formula1>Suppliers!$B$7:$B$106</formula1>
      <formula2>0</formula2>
    </dataValidation>
    <dataValidation allowBlank="true" errorStyle="stop" operator="between" showDropDown="false" showErrorMessage="false" showInputMessage="false" sqref="E8:E507" type="list">
      <formula1>Lists!$A$1:$A$6</formula1>
      <formula2>0</formula2>
    </dataValidation>
  </dataValidations>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M15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6" topLeftCell="D7" activePane="bottomRight" state="frozen"/>
      <selection pane="topLeft" activeCell="A1" activeCellId="0" sqref="A1"/>
      <selection pane="topRight" activeCell="D1" activeCellId="0" sqref="D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10"/>
    <col collapsed="false" customWidth="true" hidden="false" outlineLevel="0" max="3" min="3" style="0" width="28"/>
    <col collapsed="false" customWidth="true" hidden="false" outlineLevel="0" max="4" min="4" style="0" width="13"/>
    <col collapsed="false" customWidth="true" hidden="false" outlineLevel="0" max="6" min="5" style="0" width="10"/>
    <col collapsed="false" customWidth="true" hidden="false" outlineLevel="0" max="7" min="7" style="0" width="11"/>
    <col collapsed="false" customWidth="true" hidden="false" outlineLevel="0" max="8" min="8" style="0" width="13"/>
    <col collapsed="false" customWidth="true" hidden="false" outlineLevel="0" max="9" min="9" style="0" width="8"/>
    <col collapsed="false" customWidth="true" hidden="false" outlineLevel="0" max="10" min="10" style="0" width="14"/>
    <col collapsed="false" customWidth="true" hidden="false" outlineLevel="0" max="11" min="11" style="0" width="18"/>
    <col collapsed="false" customWidth="true" hidden="true" outlineLevel="0" max="13" min="13" style="0" width="13"/>
  </cols>
  <sheetData>
    <row r="1" customFormat="false" ht="15" hidden="false" customHeight="false" outlineLevel="0" collapsed="false">
      <c r="A1" s="20" t="s">
        <v>27</v>
      </c>
    </row>
    <row r="2" customFormat="false" ht="30" hidden="false" customHeight="true" outlineLevel="0" collapsed="false">
      <c r="A2" s="37" t="s">
        <v>154</v>
      </c>
      <c r="B2" s="37"/>
      <c r="C2" s="37"/>
      <c r="D2" s="37"/>
      <c r="E2" s="37"/>
      <c r="F2" s="37"/>
      <c r="G2" s="37"/>
      <c r="H2" s="37"/>
      <c r="I2" s="37"/>
      <c r="J2" s="37"/>
      <c r="K2" s="37"/>
      <c r="L2" s="37"/>
    </row>
    <row r="3" customFormat="false" ht="30" hidden="false" customHeight="true" outlineLevel="0" collapsed="false">
      <c r="A3" s="36" t="s">
        <v>155</v>
      </c>
      <c r="B3" s="36"/>
      <c r="C3" s="36"/>
      <c r="D3" s="36"/>
      <c r="E3" s="36"/>
      <c r="F3" s="36"/>
      <c r="G3" s="36"/>
      <c r="H3" s="36"/>
      <c r="I3" s="36"/>
      <c r="J3" s="36"/>
      <c r="K3" s="36"/>
      <c r="L3" s="36"/>
    </row>
    <row r="4" customFormat="false" ht="15" hidden="false" customHeight="false" outlineLevel="0" collapsed="false">
      <c r="B4" s="58" t="s">
        <v>156</v>
      </c>
      <c r="C4" s="59" t="n">
        <f aca="false">Setup!$C$11</f>
        <v>46310</v>
      </c>
      <c r="E4" s="58" t="s">
        <v>157</v>
      </c>
      <c r="F4" s="60" t="n">
        <f aca="false">COUNT(Bills!$S$8:$S$507)</f>
        <v>12</v>
      </c>
      <c r="H4" s="58" t="s">
        <v>158</v>
      </c>
      <c r="I4" s="61" t="n">
        <f aca="false">SUMIF(Bills!$K$8:$K$507,"&gt;0")</f>
        <v>224580</v>
      </c>
    </row>
    <row r="6" customFormat="false" ht="33.75" hidden="false" customHeight="true" outlineLevel="0" collapsed="false">
      <c r="A6" s="38" t="s">
        <v>64</v>
      </c>
      <c r="B6" s="38" t="s">
        <v>159</v>
      </c>
      <c r="C6" s="38" t="s">
        <v>108</v>
      </c>
      <c r="D6" s="38" t="s">
        <v>160</v>
      </c>
      <c r="E6" s="38" t="s">
        <v>106</v>
      </c>
      <c r="F6" s="38" t="s">
        <v>112</v>
      </c>
      <c r="G6" s="38" t="s">
        <v>117</v>
      </c>
      <c r="H6" s="38" t="s">
        <v>115</v>
      </c>
      <c r="I6" s="38" t="s">
        <v>161</v>
      </c>
      <c r="J6" s="38" t="s">
        <v>162</v>
      </c>
      <c r="K6" s="38" t="s">
        <v>75</v>
      </c>
    </row>
    <row r="7" customFormat="false" ht="15" hidden="false" customHeight="false" outlineLevel="0" collapsed="false">
      <c r="A7" s="40" t="n">
        <f aca="false">IF($M7="","",1)</f>
        <v>1</v>
      </c>
      <c r="B7" s="62" t="n">
        <f aca="false">IF($M7="","",INT(INDEX(Bills!$S$8:$S$507,$M7)))</f>
        <v>46267</v>
      </c>
      <c r="C7" s="50" t="str">
        <f aca="false">IF($M7="","",INDEX(Bills!$D$8:$D$507,$M7))</f>
        <v>Sharma Lighting Co.</v>
      </c>
      <c r="D7" s="63" t="str">
        <f aca="false">IF($M7="","",INDEX(Bills!$C$8:$C$507,$M7)&amp;"")</f>
        <v>SL/118</v>
      </c>
      <c r="E7" s="54" t="n">
        <f aca="false">IF($M7="","",INDEX(Bills!$B$8:$B$507,$M7))</f>
        <v>46252</v>
      </c>
      <c r="F7" s="54" t="n">
        <f aca="false">IF($M7="","",INDEX(Bills!$H$8:$H$507,$M7))</f>
        <v>46273</v>
      </c>
      <c r="G7" s="54" t="n">
        <f aca="false">IF($M7="","",INDEX(Bills!$M$8:$M$507,$M7))</f>
        <v>46267</v>
      </c>
      <c r="H7" s="47" t="n">
        <f aca="false">IF($M7="","",INDEX(Bills!$K$8:$K$507,$M7))</f>
        <v>8880</v>
      </c>
      <c r="I7" s="64" t="n">
        <f aca="false">IF($M7="","",B7-Setup!$C$11)</f>
        <v>-43</v>
      </c>
      <c r="J7" s="46" t="n">
        <f aca="false">IF($M7="","",SUM($H$7:H7))</f>
        <v>8880</v>
      </c>
      <c r="K7" s="63" t="str">
        <f aca="false">IF($M7="","",INDEX(Bills!$N$8:$N$507,$M7))</f>
        <v>⚠ MSME late</v>
      </c>
      <c r="M7" s="9" t="n">
        <f aca="false">IFERROR(MATCH(SMALL(Bills!$S$8:$S$507,1),Bills!$S$8:$S$507,0),"")</f>
        <v>4</v>
      </c>
    </row>
    <row r="8" customFormat="false" ht="15" hidden="false" customHeight="false" outlineLevel="0" collapsed="false">
      <c r="A8" s="40" t="n">
        <f aca="false">IF($M8="","",2)</f>
        <v>2</v>
      </c>
      <c r="B8" s="62" t="n">
        <f aca="false">IF($M8="","",INT(INDEX(Bills!$S$8:$S$507,$M8)))</f>
        <v>46289</v>
      </c>
      <c r="C8" s="50" t="str">
        <f aca="false">IF($M8="","",INDEX(Bills!$D$8:$D$507,$M8))</f>
        <v>Havells Distributor – Ludhiana</v>
      </c>
      <c r="D8" s="63" t="str">
        <f aca="false">IF($M8="","",INDEX(Bills!$C$8:$C$507,$M8)&amp;"")</f>
        <v>HD/0981</v>
      </c>
      <c r="E8" s="54" t="n">
        <f aca="false">IF($M8="","",INDEX(Bills!$B$8:$B$507,$M8))</f>
        <v>46259</v>
      </c>
      <c r="F8" s="54" t="n">
        <f aca="false">IF($M8="","",INDEX(Bills!$H$8:$H$507,$M8))</f>
        <v>46289</v>
      </c>
      <c r="G8" s="54" t="str">
        <f aca="false">IF($M8="","",INDEX(Bills!$M$8:$M$507,$M8))</f>
        <v>–</v>
      </c>
      <c r="H8" s="47" t="n">
        <f aca="false">IF($M8="","",INDEX(Bills!$K$8:$K$507,$M8))</f>
        <v>19702</v>
      </c>
      <c r="I8" s="64" t="n">
        <f aca="false">IF($M8="","",B8-Setup!$C$11)</f>
        <v>-21</v>
      </c>
      <c r="J8" s="46" t="n">
        <f aca="false">IF($M8="","",SUM($H$7:H8))</f>
        <v>28582</v>
      </c>
      <c r="K8" s="63" t="str">
        <f aca="false">IF($M8="","",INDEX(Bills!$N$8:$N$507,$M8))</f>
        <v>Overdue</v>
      </c>
      <c r="M8" s="9" t="n">
        <f aca="false">IFERROR(MATCH(SMALL(Bills!$S$8:$S$507,2),Bills!$S$8:$S$507,0),"")</f>
        <v>5</v>
      </c>
    </row>
    <row r="9" customFormat="false" ht="15" hidden="false" customHeight="false" outlineLevel="0" collapsed="false">
      <c r="A9" s="40" t="n">
        <f aca="false">IF($M9="","",3)</f>
        <v>3</v>
      </c>
      <c r="B9" s="62" t="n">
        <f aca="false">IF($M9="","",INT(INDEX(Bills!$S$8:$S$507,$M9)))</f>
        <v>46298</v>
      </c>
      <c r="C9" s="50" t="str">
        <f aca="false">IF($M9="","",INDEX(Bills!$D$8:$D$507,$M9))</f>
        <v>Sharma Lighting Co.</v>
      </c>
      <c r="D9" s="63" t="str">
        <f aca="false">IF($M9="","",INDEX(Bills!$C$8:$C$507,$M9)&amp;"")</f>
        <v>SL/131</v>
      </c>
      <c r="E9" s="54" t="n">
        <f aca="false">IF($M9="","",INDEX(Bills!$B$8:$B$507,$M9))</f>
        <v>46283</v>
      </c>
      <c r="F9" s="54" t="n">
        <f aca="false">IF($M9="","",INDEX(Bills!$H$8:$H$507,$M9))</f>
        <v>46304</v>
      </c>
      <c r="G9" s="54" t="n">
        <f aca="false">IF($M9="","",INDEX(Bills!$M$8:$M$507,$M9))</f>
        <v>46298</v>
      </c>
      <c r="H9" s="47" t="n">
        <f aca="false">IF($M9="","",INDEX(Bills!$K$8:$K$507,$M9))</f>
        <v>12390</v>
      </c>
      <c r="I9" s="64" t="n">
        <f aca="false">IF($M9="","",B9-Setup!$C$11)</f>
        <v>-12</v>
      </c>
      <c r="J9" s="46" t="n">
        <f aca="false">IF($M9="","",SUM($H$7:H9))</f>
        <v>40972</v>
      </c>
      <c r="K9" s="63" t="str">
        <f aca="false">IF($M9="","",INDEX(Bills!$N$8:$N$507,$M9))</f>
        <v>⚠ MSME late</v>
      </c>
      <c r="M9" s="9" t="n">
        <f aca="false">IFERROR(MATCH(SMALL(Bills!$S$8:$S$507,3),Bills!$S$8:$S$507,0),"")</f>
        <v>8</v>
      </c>
    </row>
    <row r="10" customFormat="false" ht="15" hidden="false" customHeight="false" outlineLevel="0" collapsed="false">
      <c r="A10" s="40" t="n">
        <f aca="false">IF($M10="","",4)</f>
        <v>4</v>
      </c>
      <c r="B10" s="62" t="n">
        <f aca="false">IF($M10="","",INT(INDEX(Bills!$S$8:$S$507,$M10)))</f>
        <v>46311</v>
      </c>
      <c r="C10" s="50" t="str">
        <f aca="false">IF($M10="","",INDEX(Bills!$D$8:$D$507,$M10))</f>
        <v>Kaur Packaging</v>
      </c>
      <c r="D10" s="63" t="str">
        <f aca="false">IF($M10="","",INDEX(Bills!$C$8:$C$507,$M10)&amp;"")</f>
        <v>KP/52</v>
      </c>
      <c r="E10" s="54" t="n">
        <f aca="false">IF($M10="","",INDEX(Bills!$B$8:$B$507,$M10))</f>
        <v>46296</v>
      </c>
      <c r="F10" s="54" t="n">
        <f aca="false">IF($M10="","",INDEX(Bills!$H$8:$H$507,$M10))</f>
        <v>46311</v>
      </c>
      <c r="G10" s="54" t="n">
        <f aca="false">IF($M10="","",INDEX(Bills!$M$8:$M$507,$M10))</f>
        <v>46311</v>
      </c>
      <c r="H10" s="47" t="n">
        <f aca="false">IF($M10="","",INDEX(Bills!$K$8:$K$507,$M10))</f>
        <v>4720</v>
      </c>
      <c r="I10" s="64" t="n">
        <f aca="false">IF($M10="","",B10-Setup!$C$11)</f>
        <v>1</v>
      </c>
      <c r="J10" s="46" t="n">
        <f aca="false">IF($M10="","",SUM($H$7:H10))</f>
        <v>45692</v>
      </c>
      <c r="K10" s="63" t="str">
        <f aca="false">IF($M10="","",INDEX(Bills!$N$8:$N$507,$M10))</f>
        <v>⚠ MSME due soon</v>
      </c>
      <c r="M10" s="9" t="n">
        <f aca="false">IFERROR(MATCH(SMALL(Bills!$S$8:$S$507,4),Bills!$S$8:$S$507,0),"")</f>
        <v>11</v>
      </c>
    </row>
    <row r="11" customFormat="false" ht="15" hidden="false" customHeight="false" outlineLevel="0" collapsed="false">
      <c r="A11" s="40" t="n">
        <f aca="false">IF($M11="","",5)</f>
        <v>5</v>
      </c>
      <c r="B11" s="62" t="n">
        <f aca="false">IF($M11="","",INT(INDEX(Bills!$S$8:$S$507,$M11)))</f>
        <v>46313</v>
      </c>
      <c r="C11" s="50" t="str">
        <f aca="false">IF($M11="","",INDEX(Bills!$D$8:$D$507,$M11))</f>
        <v>Sharma Lighting Co.</v>
      </c>
      <c r="D11" s="63" t="str">
        <f aca="false">IF($M11="","",INDEX(Bills!$C$8:$C$507,$M11)&amp;"")</f>
        <v>SL/140</v>
      </c>
      <c r="E11" s="54" t="n">
        <f aca="false">IF($M11="","",INDEX(Bills!$B$8:$B$507,$M11))</f>
        <v>46298</v>
      </c>
      <c r="F11" s="54" t="n">
        <f aca="false">IF($M11="","",INDEX(Bills!$H$8:$H$507,$M11))</f>
        <v>46319</v>
      </c>
      <c r="G11" s="54" t="n">
        <f aca="false">IF($M11="","",INDEX(Bills!$M$8:$M$507,$M11))</f>
        <v>46313</v>
      </c>
      <c r="H11" s="47" t="n">
        <f aca="false">IF($M11="","",INDEX(Bills!$K$8:$K$507,$M11))</f>
        <v>9440</v>
      </c>
      <c r="I11" s="64" t="n">
        <f aca="false">IF($M11="","",B11-Setup!$C$11)</f>
        <v>3</v>
      </c>
      <c r="J11" s="46" t="n">
        <f aca="false">IF($M11="","",SUM($H$7:H11))</f>
        <v>55132</v>
      </c>
      <c r="K11" s="63" t="str">
        <f aca="false">IF($M11="","",INDEX(Bills!$N$8:$N$507,$M11))</f>
        <v>⚠ MSME due soon</v>
      </c>
      <c r="M11" s="9" t="n">
        <f aca="false">IFERROR(MATCH(SMALL(Bills!$S$8:$S$507,5),Bills!$S$8:$S$507,0),"")</f>
        <v>12</v>
      </c>
    </row>
    <row r="12" customFormat="false" ht="15" hidden="false" customHeight="false" outlineLevel="0" collapsed="false">
      <c r="A12" s="40" t="n">
        <f aca="false">IF($M12="","",6)</f>
        <v>6</v>
      </c>
      <c r="B12" s="62" t="n">
        <f aca="false">IF($M12="","",INT(INDEX(Bills!$S$8:$S$507,$M12)))</f>
        <v>46317</v>
      </c>
      <c r="C12" s="50" t="str">
        <f aca="false">IF($M12="","",INDEX(Bills!$D$8:$D$507,$M12))</f>
        <v>Punjab Cables</v>
      </c>
      <c r="D12" s="63" t="str">
        <f aca="false">IF($M12="","",INDEX(Bills!$C$8:$C$507,$M12)&amp;"")</f>
        <v>PC/2390</v>
      </c>
      <c r="E12" s="54" t="n">
        <f aca="false">IF($M12="","",INDEX(Bills!$B$8:$B$507,$M12))</f>
        <v>46287</v>
      </c>
      <c r="F12" s="54" t="n">
        <f aca="false">IF($M12="","",INDEX(Bills!$H$8:$H$507,$M12))</f>
        <v>46317</v>
      </c>
      <c r="G12" s="54" t="str">
        <f aca="false">IF($M12="","",INDEX(Bills!$M$8:$M$507,$M12))</f>
        <v>–</v>
      </c>
      <c r="H12" s="47" t="n">
        <f aca="false">IF($M12="","",INDEX(Bills!$K$8:$K$507,$M12))</f>
        <v>25960</v>
      </c>
      <c r="I12" s="64" t="n">
        <f aca="false">IF($M12="","",B12-Setup!$C$11)</f>
        <v>7</v>
      </c>
      <c r="J12" s="46" t="n">
        <f aca="false">IF($M12="","",SUM($H$7:H12))</f>
        <v>81092</v>
      </c>
      <c r="K12" s="63" t="str">
        <f aca="false">IF($M12="","",INDEX(Bills!$N$8:$N$507,$M12))</f>
        <v>Not due</v>
      </c>
      <c r="M12" s="9" t="n">
        <f aca="false">IFERROR(MATCH(SMALL(Bills!$S$8:$S$507,6),Bills!$S$8:$S$507,0),"")</f>
        <v>9</v>
      </c>
    </row>
    <row r="13" customFormat="false" ht="15" hidden="false" customHeight="false" outlineLevel="0" collapsed="false">
      <c r="A13" s="40" t="n">
        <f aca="false">IF($M13="","",7)</f>
        <v>7</v>
      </c>
      <c r="B13" s="62" t="n">
        <f aca="false">IF($M13="","",INT(INDEX(Bills!$S$8:$S$507,$M13)))</f>
        <v>46322</v>
      </c>
      <c r="C13" s="50" t="str">
        <f aca="false">IF($M13="","",INDEX(Bills!$D$8:$D$507,$M13))</f>
        <v>Kaur Packaging</v>
      </c>
      <c r="D13" s="63" t="str">
        <f aca="false">IF($M13="","",INDEX(Bills!$C$8:$C$507,$M13)&amp;"")</f>
        <v>KP/58</v>
      </c>
      <c r="E13" s="54" t="n">
        <f aca="false">IF($M13="","",INDEX(Bills!$B$8:$B$507,$M13))</f>
        <v>46307</v>
      </c>
      <c r="F13" s="54" t="n">
        <f aca="false">IF($M13="","",INDEX(Bills!$H$8:$H$507,$M13))</f>
        <v>46322</v>
      </c>
      <c r="G13" s="54" t="n">
        <f aca="false">IF($M13="","",INDEX(Bills!$M$8:$M$507,$M13))</f>
        <v>46322</v>
      </c>
      <c r="H13" s="47" t="n">
        <f aca="false">IF($M13="","",INDEX(Bills!$K$8:$K$507,$M13))</f>
        <v>5310</v>
      </c>
      <c r="I13" s="64" t="n">
        <f aca="false">IF($M13="","",B13-Setup!$C$11)</f>
        <v>12</v>
      </c>
      <c r="J13" s="46" t="n">
        <f aca="false">IF($M13="","",SUM($H$7:H13))</f>
        <v>86402</v>
      </c>
      <c r="K13" s="63" t="str">
        <f aca="false">IF($M13="","",INDEX(Bills!$N$8:$N$507,$M13))</f>
        <v>Not due</v>
      </c>
      <c r="M13" s="9" t="n">
        <f aca="false">IFERROR(MATCH(SMALL(Bills!$S$8:$S$507,7),Bills!$S$8:$S$507,0),"")</f>
        <v>16</v>
      </c>
    </row>
    <row r="14" customFormat="false" ht="15" hidden="false" customHeight="false" outlineLevel="0" collapsed="false">
      <c r="A14" s="40" t="n">
        <f aca="false">IF($M14="","",8)</f>
        <v>8</v>
      </c>
      <c r="B14" s="62" t="n">
        <f aca="false">IF($M14="","",INT(INDEX(Bills!$S$8:$S$507,$M14)))</f>
        <v>46331</v>
      </c>
      <c r="C14" s="50" t="str">
        <f aca="false">IF($M14="","",INDEX(Bills!$D$8:$D$507,$M14))</f>
        <v>Havells Distributor – Ludhiana</v>
      </c>
      <c r="D14" s="63" t="str">
        <f aca="false">IF($M14="","",INDEX(Bills!$C$8:$C$507,$M14)&amp;"")</f>
        <v>HD/1102</v>
      </c>
      <c r="E14" s="54" t="n">
        <f aca="false">IF($M14="","",INDEX(Bills!$B$8:$B$507,$M14))</f>
        <v>46301</v>
      </c>
      <c r="F14" s="54" t="n">
        <f aca="false">IF($M14="","",INDEX(Bills!$H$8:$H$507,$M14))</f>
        <v>46331</v>
      </c>
      <c r="G14" s="54" t="str">
        <f aca="false">IF($M14="","",INDEX(Bills!$M$8:$M$507,$M14))</f>
        <v>–</v>
      </c>
      <c r="H14" s="47" t="n">
        <f aca="false">IF($M14="","",INDEX(Bills!$K$8:$K$507,$M14))</f>
        <v>38350</v>
      </c>
      <c r="I14" s="64" t="n">
        <f aca="false">IF($M14="","",B14-Setup!$C$11)</f>
        <v>21</v>
      </c>
      <c r="J14" s="46" t="n">
        <f aca="false">IF($M14="","",SUM($H$7:H14))</f>
        <v>124752</v>
      </c>
      <c r="K14" s="63" t="str">
        <f aca="false">IF($M14="","",INDEX(Bills!$N$8:$N$507,$M14))</f>
        <v>Not due</v>
      </c>
      <c r="M14" s="9" t="n">
        <f aca="false">IFERROR(MATCH(SMALL(Bills!$S$8:$S$507,8),Bills!$S$8:$S$507,0),"")</f>
        <v>13</v>
      </c>
    </row>
    <row r="15" customFormat="false" ht="15" hidden="false" customHeight="false" outlineLevel="0" collapsed="false">
      <c r="A15" s="40" t="n">
        <f aca="false">IF($M15="","",9)</f>
        <v>9</v>
      </c>
      <c r="B15" s="62" t="n">
        <f aca="false">IF($M15="","",INT(INDEX(Bills!$S$8:$S$507,$M15)))</f>
        <v>46333</v>
      </c>
      <c r="C15" s="50" t="str">
        <f aca="false">IF($M15="","",INDEX(Bills!$D$8:$D$507,$M15))</f>
        <v>Delhi Switchgear</v>
      </c>
      <c r="D15" s="63" t="str">
        <f aca="false">IF($M15="","",INDEX(Bills!$C$8:$C$507,$M15)&amp;"")</f>
        <v>DS/7902</v>
      </c>
      <c r="E15" s="54" t="n">
        <f aca="false">IF($M15="","",INDEX(Bills!$B$8:$B$507,$M15))</f>
        <v>46303</v>
      </c>
      <c r="F15" s="54" t="n">
        <f aca="false">IF($M15="","",INDEX(Bills!$H$8:$H$507,$M15))</f>
        <v>46333</v>
      </c>
      <c r="G15" s="54" t="str">
        <f aca="false">IF($M15="","",INDEX(Bills!$M$8:$M$507,$M15))</f>
        <v>–</v>
      </c>
      <c r="H15" s="47" t="n">
        <f aca="false">IF($M15="","",INDEX(Bills!$K$8:$K$507,$M15))</f>
        <v>21240</v>
      </c>
      <c r="I15" s="64" t="n">
        <f aca="false">IF($M15="","",B15-Setup!$C$11)</f>
        <v>23</v>
      </c>
      <c r="J15" s="46" t="n">
        <f aca="false">IF($M15="","",SUM($H$7:H15))</f>
        <v>145992</v>
      </c>
      <c r="K15" s="63" t="str">
        <f aca="false">IF($M15="","",INDEX(Bills!$N$8:$N$507,$M15))</f>
        <v>Not due</v>
      </c>
      <c r="M15" s="9" t="n">
        <f aca="false">IFERROR(MATCH(SMALL(Bills!$S$8:$S$507,9),Bills!$S$8:$S$507,0),"")</f>
        <v>14</v>
      </c>
    </row>
    <row r="16" customFormat="false" ht="15" hidden="false" customHeight="false" outlineLevel="0" collapsed="false">
      <c r="A16" s="40" t="n">
        <f aca="false">IF($M16="","",10)</f>
        <v>10</v>
      </c>
      <c r="B16" s="62" t="n">
        <f aca="false">IF($M16="","",INT(INDEX(Bills!$S$8:$S$507,$M16)))</f>
        <v>46338</v>
      </c>
      <c r="C16" s="50" t="str">
        <f aca="false">IF($M16="","",INDEX(Bills!$D$8:$D$507,$M16))</f>
        <v>Wire House Pvt Ltd</v>
      </c>
      <c r="D16" s="63" t="str">
        <f aca="false">IF($M16="","",INDEX(Bills!$C$8:$C$507,$M16)&amp;"")</f>
        <v>WH-1288</v>
      </c>
      <c r="E16" s="54" t="n">
        <f aca="false">IF($M16="","",INDEX(Bills!$B$8:$B$507,$M16))</f>
        <v>46293</v>
      </c>
      <c r="F16" s="54" t="n">
        <f aca="false">IF($M16="","",INDEX(Bills!$H$8:$H$507,$M16))</f>
        <v>46338</v>
      </c>
      <c r="G16" s="54" t="n">
        <f aca="false">IF($M16="","",INDEX(Bills!$M$8:$M$507,$M16))</f>
        <v>46338</v>
      </c>
      <c r="H16" s="47" t="n">
        <f aca="false">IF($M16="","",INDEX(Bills!$K$8:$K$507,$M16))</f>
        <v>30444</v>
      </c>
      <c r="I16" s="64" t="n">
        <f aca="false">IF($M16="","",B16-Setup!$C$11)</f>
        <v>28</v>
      </c>
      <c r="J16" s="46" t="n">
        <f aca="false">IF($M16="","",SUM($H$7:H16))</f>
        <v>176436</v>
      </c>
      <c r="K16" s="63" t="str">
        <f aca="false">IF($M16="","",INDEX(Bills!$N$8:$N$507,$M16))</f>
        <v>Not due</v>
      </c>
      <c r="M16" s="9" t="n">
        <f aca="false">IFERROR(MATCH(SMALL(Bills!$S$8:$S$507,10),Bills!$S$8:$S$507,0),"")</f>
        <v>10</v>
      </c>
    </row>
    <row r="17" customFormat="false" ht="15" hidden="false" customHeight="false" outlineLevel="0" collapsed="false">
      <c r="A17" s="40" t="n">
        <f aca="false">IF($M17="","",11)</f>
        <v>11</v>
      </c>
      <c r="B17" s="62" t="n">
        <f aca="false">IF($M17="","",INT(INDEX(Bills!$S$8:$S$507,$M17)))</f>
        <v>46338</v>
      </c>
      <c r="C17" s="50" t="str">
        <f aca="false">IF($M17="","",INDEX(Bills!$D$8:$D$507,$M17))</f>
        <v>Punjab Cables</v>
      </c>
      <c r="D17" s="63" t="str">
        <f aca="false">IF($M17="","",INDEX(Bills!$C$8:$C$507,$M17)&amp;"")</f>
        <v>PC/2455</v>
      </c>
      <c r="E17" s="54" t="n">
        <f aca="false">IF($M17="","",INDEX(Bills!$B$8:$B$507,$M17))</f>
        <v>46308</v>
      </c>
      <c r="F17" s="54" t="n">
        <f aca="false">IF($M17="","",INDEX(Bills!$H$8:$H$507,$M17))</f>
        <v>46338</v>
      </c>
      <c r="G17" s="54" t="str">
        <f aca="false">IF($M17="","",INDEX(Bills!$M$8:$M$507,$M17))</f>
        <v>–</v>
      </c>
      <c r="H17" s="47" t="n">
        <f aca="false">IF($M17="","",INDEX(Bills!$K$8:$K$507,$M17))</f>
        <v>17700</v>
      </c>
      <c r="I17" s="64" t="n">
        <f aca="false">IF($M17="","",B17-Setup!$C$11)</f>
        <v>28</v>
      </c>
      <c r="J17" s="46" t="n">
        <f aca="false">IF($M17="","",SUM($H$7:H17))</f>
        <v>194136</v>
      </c>
      <c r="K17" s="63" t="str">
        <f aca="false">IF($M17="","",INDEX(Bills!$N$8:$N$507,$M17))</f>
        <v>Not due</v>
      </c>
      <c r="M17" s="9" t="n">
        <f aca="false">IFERROR(MATCH(SMALL(Bills!$S$8:$S$507,11),Bills!$S$8:$S$507,0),"")</f>
        <v>17</v>
      </c>
    </row>
    <row r="18" customFormat="false" ht="15" hidden="false" customHeight="false" outlineLevel="0" collapsed="false">
      <c r="A18" s="40" t="n">
        <f aca="false">IF($M18="","",12)</f>
        <v>12</v>
      </c>
      <c r="B18" s="62" t="n">
        <f aca="false">IF($M18="","",INT(INDEX(Bills!$S$8:$S$507,$M18)))</f>
        <v>46350</v>
      </c>
      <c r="C18" s="50" t="str">
        <f aca="false">IF($M18="","",INDEX(Bills!$D$8:$D$507,$M18))</f>
        <v>Wire House Pvt Ltd</v>
      </c>
      <c r="D18" s="63" t="str">
        <f aca="false">IF($M18="","",INDEX(Bills!$C$8:$C$507,$M18)&amp;"")</f>
        <v>WH-1342</v>
      </c>
      <c r="E18" s="54" t="n">
        <f aca="false">IF($M18="","",INDEX(Bills!$B$8:$B$507,$M18))</f>
        <v>46305</v>
      </c>
      <c r="F18" s="54" t="n">
        <f aca="false">IF($M18="","",INDEX(Bills!$H$8:$H$507,$M18))</f>
        <v>46350</v>
      </c>
      <c r="G18" s="54" t="n">
        <f aca="false">IF($M18="","",INDEX(Bills!$M$8:$M$507,$M18))</f>
        <v>46350</v>
      </c>
      <c r="H18" s="47" t="n">
        <f aca="false">IF($M18="","",INDEX(Bills!$K$8:$K$507,$M18))</f>
        <v>30444</v>
      </c>
      <c r="I18" s="64" t="n">
        <f aca="false">IF($M18="","",B18-Setup!$C$11)</f>
        <v>40</v>
      </c>
      <c r="J18" s="46" t="n">
        <f aca="false">IF($M18="","",SUM($H$7:H18))</f>
        <v>224580</v>
      </c>
      <c r="K18" s="63" t="str">
        <f aca="false">IF($M18="","",INDEX(Bills!$N$8:$N$507,$M18))</f>
        <v>Not due</v>
      </c>
      <c r="M18" s="9" t="n">
        <f aca="false">IFERROR(MATCH(SMALL(Bills!$S$8:$S$507,12),Bills!$S$8:$S$507,0),"")</f>
        <v>15</v>
      </c>
    </row>
    <row r="19" customFormat="false" ht="15" hidden="false" customHeight="false" outlineLevel="0" collapsed="false">
      <c r="A19" s="40" t="str">
        <f aca="false">IF($M19="","",13)</f>
        <v/>
      </c>
      <c r="B19" s="62" t="str">
        <f aca="false">IF($M19="","",INT(INDEX(Bills!$S$8:$S$507,$M19)))</f>
        <v/>
      </c>
      <c r="C19" s="50" t="str">
        <f aca="false">IF($M19="","",INDEX(Bills!$D$8:$D$507,$M19))</f>
        <v/>
      </c>
      <c r="D19" s="63" t="str">
        <f aca="false">IF($M19="","",INDEX(Bills!$C$8:$C$507,$M19)&amp;"")</f>
        <v/>
      </c>
      <c r="E19" s="54" t="str">
        <f aca="false">IF($M19="","",INDEX(Bills!$B$8:$B$507,$M19))</f>
        <v/>
      </c>
      <c r="F19" s="54" t="str">
        <f aca="false">IF($M19="","",INDEX(Bills!$H$8:$H$507,$M19))</f>
        <v/>
      </c>
      <c r="G19" s="54" t="str">
        <f aca="false">IF($M19="","",INDEX(Bills!$M$8:$M$507,$M19))</f>
        <v/>
      </c>
      <c r="H19" s="47" t="str">
        <f aca="false">IF($M19="","",INDEX(Bills!$K$8:$K$507,$M19))</f>
        <v/>
      </c>
      <c r="I19" s="64" t="str">
        <f aca="false">IF($M19="","",B19-Setup!$C$11)</f>
        <v/>
      </c>
      <c r="J19" s="46" t="str">
        <f aca="false">IF($M19="","",SUM($H$7:H19))</f>
        <v/>
      </c>
      <c r="K19" s="63" t="str">
        <f aca="false">IF($M19="","",INDEX(Bills!$N$8:$N$507,$M19))</f>
        <v/>
      </c>
      <c r="M19" s="9" t="str">
        <f aca="false">IFERROR(MATCH(SMALL(Bills!$S$8:$S$507,13),Bills!$S$8:$S$507,0),"")</f>
        <v/>
      </c>
    </row>
    <row r="20" customFormat="false" ht="15" hidden="false" customHeight="false" outlineLevel="0" collapsed="false">
      <c r="A20" s="40" t="str">
        <f aca="false">IF($M20="","",14)</f>
        <v/>
      </c>
      <c r="B20" s="62" t="str">
        <f aca="false">IF($M20="","",INT(INDEX(Bills!$S$8:$S$507,$M20)))</f>
        <v/>
      </c>
      <c r="C20" s="50" t="str">
        <f aca="false">IF($M20="","",INDEX(Bills!$D$8:$D$507,$M20))</f>
        <v/>
      </c>
      <c r="D20" s="63" t="str">
        <f aca="false">IF($M20="","",INDEX(Bills!$C$8:$C$507,$M20)&amp;"")</f>
        <v/>
      </c>
      <c r="E20" s="54" t="str">
        <f aca="false">IF($M20="","",INDEX(Bills!$B$8:$B$507,$M20))</f>
        <v/>
      </c>
      <c r="F20" s="54" t="str">
        <f aca="false">IF($M20="","",INDEX(Bills!$H$8:$H$507,$M20))</f>
        <v/>
      </c>
      <c r="G20" s="54" t="str">
        <f aca="false">IF($M20="","",INDEX(Bills!$M$8:$M$507,$M20))</f>
        <v/>
      </c>
      <c r="H20" s="47" t="str">
        <f aca="false">IF($M20="","",INDEX(Bills!$K$8:$K$507,$M20))</f>
        <v/>
      </c>
      <c r="I20" s="64" t="str">
        <f aca="false">IF($M20="","",B20-Setup!$C$11)</f>
        <v/>
      </c>
      <c r="J20" s="46" t="str">
        <f aca="false">IF($M20="","",SUM($H$7:H20))</f>
        <v/>
      </c>
      <c r="K20" s="63" t="str">
        <f aca="false">IF($M20="","",INDEX(Bills!$N$8:$N$507,$M20))</f>
        <v/>
      </c>
      <c r="M20" s="9" t="str">
        <f aca="false">IFERROR(MATCH(SMALL(Bills!$S$8:$S$507,14),Bills!$S$8:$S$507,0),"")</f>
        <v/>
      </c>
    </row>
    <row r="21" customFormat="false" ht="15" hidden="false" customHeight="false" outlineLevel="0" collapsed="false">
      <c r="A21" s="40" t="str">
        <f aca="false">IF($M21="","",15)</f>
        <v/>
      </c>
      <c r="B21" s="62" t="str">
        <f aca="false">IF($M21="","",INT(INDEX(Bills!$S$8:$S$507,$M21)))</f>
        <v/>
      </c>
      <c r="C21" s="50" t="str">
        <f aca="false">IF($M21="","",INDEX(Bills!$D$8:$D$507,$M21))</f>
        <v/>
      </c>
      <c r="D21" s="63" t="str">
        <f aca="false">IF($M21="","",INDEX(Bills!$C$8:$C$507,$M21)&amp;"")</f>
        <v/>
      </c>
      <c r="E21" s="54" t="str">
        <f aca="false">IF($M21="","",INDEX(Bills!$B$8:$B$507,$M21))</f>
        <v/>
      </c>
      <c r="F21" s="54" t="str">
        <f aca="false">IF($M21="","",INDEX(Bills!$H$8:$H$507,$M21))</f>
        <v/>
      </c>
      <c r="G21" s="54" t="str">
        <f aca="false">IF($M21="","",INDEX(Bills!$M$8:$M$507,$M21))</f>
        <v/>
      </c>
      <c r="H21" s="47" t="str">
        <f aca="false">IF($M21="","",INDEX(Bills!$K$8:$K$507,$M21))</f>
        <v/>
      </c>
      <c r="I21" s="64" t="str">
        <f aca="false">IF($M21="","",B21-Setup!$C$11)</f>
        <v/>
      </c>
      <c r="J21" s="46" t="str">
        <f aca="false">IF($M21="","",SUM($H$7:H21))</f>
        <v/>
      </c>
      <c r="K21" s="63" t="str">
        <f aca="false">IF($M21="","",INDEX(Bills!$N$8:$N$507,$M21))</f>
        <v/>
      </c>
      <c r="M21" s="9" t="str">
        <f aca="false">IFERROR(MATCH(SMALL(Bills!$S$8:$S$507,15),Bills!$S$8:$S$507,0),"")</f>
        <v/>
      </c>
    </row>
    <row r="22" customFormat="false" ht="15" hidden="false" customHeight="false" outlineLevel="0" collapsed="false">
      <c r="A22" s="40" t="str">
        <f aca="false">IF($M22="","",16)</f>
        <v/>
      </c>
      <c r="B22" s="62" t="str">
        <f aca="false">IF($M22="","",INT(INDEX(Bills!$S$8:$S$507,$M22)))</f>
        <v/>
      </c>
      <c r="C22" s="50" t="str">
        <f aca="false">IF($M22="","",INDEX(Bills!$D$8:$D$507,$M22))</f>
        <v/>
      </c>
      <c r="D22" s="63" t="str">
        <f aca="false">IF($M22="","",INDEX(Bills!$C$8:$C$507,$M22)&amp;"")</f>
        <v/>
      </c>
      <c r="E22" s="54" t="str">
        <f aca="false">IF($M22="","",INDEX(Bills!$B$8:$B$507,$M22))</f>
        <v/>
      </c>
      <c r="F22" s="54" t="str">
        <f aca="false">IF($M22="","",INDEX(Bills!$H$8:$H$507,$M22))</f>
        <v/>
      </c>
      <c r="G22" s="54" t="str">
        <f aca="false">IF($M22="","",INDEX(Bills!$M$8:$M$507,$M22))</f>
        <v/>
      </c>
      <c r="H22" s="47" t="str">
        <f aca="false">IF($M22="","",INDEX(Bills!$K$8:$K$507,$M22))</f>
        <v/>
      </c>
      <c r="I22" s="64" t="str">
        <f aca="false">IF($M22="","",B22-Setup!$C$11)</f>
        <v/>
      </c>
      <c r="J22" s="46" t="str">
        <f aca="false">IF($M22="","",SUM($H$7:H22))</f>
        <v/>
      </c>
      <c r="K22" s="63" t="str">
        <f aca="false">IF($M22="","",INDEX(Bills!$N$8:$N$507,$M22))</f>
        <v/>
      </c>
      <c r="M22" s="9" t="str">
        <f aca="false">IFERROR(MATCH(SMALL(Bills!$S$8:$S$507,16),Bills!$S$8:$S$507,0),"")</f>
        <v/>
      </c>
    </row>
    <row r="23" customFormat="false" ht="15" hidden="false" customHeight="false" outlineLevel="0" collapsed="false">
      <c r="A23" s="40" t="str">
        <f aca="false">IF($M23="","",17)</f>
        <v/>
      </c>
      <c r="B23" s="62" t="str">
        <f aca="false">IF($M23="","",INT(INDEX(Bills!$S$8:$S$507,$M23)))</f>
        <v/>
      </c>
      <c r="C23" s="50" t="str">
        <f aca="false">IF($M23="","",INDEX(Bills!$D$8:$D$507,$M23))</f>
        <v/>
      </c>
      <c r="D23" s="63" t="str">
        <f aca="false">IF($M23="","",INDEX(Bills!$C$8:$C$507,$M23)&amp;"")</f>
        <v/>
      </c>
      <c r="E23" s="54" t="str">
        <f aca="false">IF($M23="","",INDEX(Bills!$B$8:$B$507,$M23))</f>
        <v/>
      </c>
      <c r="F23" s="54" t="str">
        <f aca="false">IF($M23="","",INDEX(Bills!$H$8:$H$507,$M23))</f>
        <v/>
      </c>
      <c r="G23" s="54" t="str">
        <f aca="false">IF($M23="","",INDEX(Bills!$M$8:$M$507,$M23))</f>
        <v/>
      </c>
      <c r="H23" s="47" t="str">
        <f aca="false">IF($M23="","",INDEX(Bills!$K$8:$K$507,$M23))</f>
        <v/>
      </c>
      <c r="I23" s="64" t="str">
        <f aca="false">IF($M23="","",B23-Setup!$C$11)</f>
        <v/>
      </c>
      <c r="J23" s="46" t="str">
        <f aca="false">IF($M23="","",SUM($H$7:H23))</f>
        <v/>
      </c>
      <c r="K23" s="63" t="str">
        <f aca="false">IF($M23="","",INDEX(Bills!$N$8:$N$507,$M23))</f>
        <v/>
      </c>
      <c r="M23" s="9" t="str">
        <f aca="false">IFERROR(MATCH(SMALL(Bills!$S$8:$S$507,17),Bills!$S$8:$S$507,0),"")</f>
        <v/>
      </c>
    </row>
    <row r="24" customFormat="false" ht="15" hidden="false" customHeight="false" outlineLevel="0" collapsed="false">
      <c r="A24" s="40" t="str">
        <f aca="false">IF($M24="","",18)</f>
        <v/>
      </c>
      <c r="B24" s="62" t="str">
        <f aca="false">IF($M24="","",INT(INDEX(Bills!$S$8:$S$507,$M24)))</f>
        <v/>
      </c>
      <c r="C24" s="50" t="str">
        <f aca="false">IF($M24="","",INDEX(Bills!$D$8:$D$507,$M24))</f>
        <v/>
      </c>
      <c r="D24" s="63" t="str">
        <f aca="false">IF($M24="","",INDEX(Bills!$C$8:$C$507,$M24)&amp;"")</f>
        <v/>
      </c>
      <c r="E24" s="54" t="str">
        <f aca="false">IF($M24="","",INDEX(Bills!$B$8:$B$507,$M24))</f>
        <v/>
      </c>
      <c r="F24" s="54" t="str">
        <f aca="false">IF($M24="","",INDEX(Bills!$H$8:$H$507,$M24))</f>
        <v/>
      </c>
      <c r="G24" s="54" t="str">
        <f aca="false">IF($M24="","",INDEX(Bills!$M$8:$M$507,$M24))</f>
        <v/>
      </c>
      <c r="H24" s="47" t="str">
        <f aca="false">IF($M24="","",INDEX(Bills!$K$8:$K$507,$M24))</f>
        <v/>
      </c>
      <c r="I24" s="64" t="str">
        <f aca="false">IF($M24="","",B24-Setup!$C$11)</f>
        <v/>
      </c>
      <c r="J24" s="46" t="str">
        <f aca="false">IF($M24="","",SUM($H$7:H24))</f>
        <v/>
      </c>
      <c r="K24" s="63" t="str">
        <f aca="false">IF($M24="","",INDEX(Bills!$N$8:$N$507,$M24))</f>
        <v/>
      </c>
      <c r="M24" s="9" t="str">
        <f aca="false">IFERROR(MATCH(SMALL(Bills!$S$8:$S$507,18),Bills!$S$8:$S$507,0),"")</f>
        <v/>
      </c>
    </row>
    <row r="25" customFormat="false" ht="15" hidden="false" customHeight="false" outlineLevel="0" collapsed="false">
      <c r="A25" s="40" t="str">
        <f aca="false">IF($M25="","",19)</f>
        <v/>
      </c>
      <c r="B25" s="62" t="str">
        <f aca="false">IF($M25="","",INT(INDEX(Bills!$S$8:$S$507,$M25)))</f>
        <v/>
      </c>
      <c r="C25" s="50" t="str">
        <f aca="false">IF($M25="","",INDEX(Bills!$D$8:$D$507,$M25))</f>
        <v/>
      </c>
      <c r="D25" s="63" t="str">
        <f aca="false">IF($M25="","",INDEX(Bills!$C$8:$C$507,$M25)&amp;"")</f>
        <v/>
      </c>
      <c r="E25" s="54" t="str">
        <f aca="false">IF($M25="","",INDEX(Bills!$B$8:$B$507,$M25))</f>
        <v/>
      </c>
      <c r="F25" s="54" t="str">
        <f aca="false">IF($M25="","",INDEX(Bills!$H$8:$H$507,$M25))</f>
        <v/>
      </c>
      <c r="G25" s="54" t="str">
        <f aca="false">IF($M25="","",INDEX(Bills!$M$8:$M$507,$M25))</f>
        <v/>
      </c>
      <c r="H25" s="47" t="str">
        <f aca="false">IF($M25="","",INDEX(Bills!$K$8:$K$507,$M25))</f>
        <v/>
      </c>
      <c r="I25" s="64" t="str">
        <f aca="false">IF($M25="","",B25-Setup!$C$11)</f>
        <v/>
      </c>
      <c r="J25" s="46" t="str">
        <f aca="false">IF($M25="","",SUM($H$7:H25))</f>
        <v/>
      </c>
      <c r="K25" s="63" t="str">
        <f aca="false">IF($M25="","",INDEX(Bills!$N$8:$N$507,$M25))</f>
        <v/>
      </c>
      <c r="M25" s="9" t="str">
        <f aca="false">IFERROR(MATCH(SMALL(Bills!$S$8:$S$507,19),Bills!$S$8:$S$507,0),"")</f>
        <v/>
      </c>
    </row>
    <row r="26" customFormat="false" ht="15" hidden="false" customHeight="false" outlineLevel="0" collapsed="false">
      <c r="A26" s="40" t="str">
        <f aca="false">IF($M26="","",20)</f>
        <v/>
      </c>
      <c r="B26" s="62" t="str">
        <f aca="false">IF($M26="","",INT(INDEX(Bills!$S$8:$S$507,$M26)))</f>
        <v/>
      </c>
      <c r="C26" s="50" t="str">
        <f aca="false">IF($M26="","",INDEX(Bills!$D$8:$D$507,$M26))</f>
        <v/>
      </c>
      <c r="D26" s="63" t="str">
        <f aca="false">IF($M26="","",INDEX(Bills!$C$8:$C$507,$M26)&amp;"")</f>
        <v/>
      </c>
      <c r="E26" s="54" t="str">
        <f aca="false">IF($M26="","",INDEX(Bills!$B$8:$B$507,$M26))</f>
        <v/>
      </c>
      <c r="F26" s="54" t="str">
        <f aca="false">IF($M26="","",INDEX(Bills!$H$8:$H$507,$M26))</f>
        <v/>
      </c>
      <c r="G26" s="54" t="str">
        <f aca="false">IF($M26="","",INDEX(Bills!$M$8:$M$507,$M26))</f>
        <v/>
      </c>
      <c r="H26" s="47" t="str">
        <f aca="false">IF($M26="","",INDEX(Bills!$K$8:$K$507,$M26))</f>
        <v/>
      </c>
      <c r="I26" s="64" t="str">
        <f aca="false">IF($M26="","",B26-Setup!$C$11)</f>
        <v/>
      </c>
      <c r="J26" s="46" t="str">
        <f aca="false">IF($M26="","",SUM($H$7:H26))</f>
        <v/>
      </c>
      <c r="K26" s="63" t="str">
        <f aca="false">IF($M26="","",INDEX(Bills!$N$8:$N$507,$M26))</f>
        <v/>
      </c>
      <c r="M26" s="9" t="str">
        <f aca="false">IFERROR(MATCH(SMALL(Bills!$S$8:$S$507,20),Bills!$S$8:$S$507,0),"")</f>
        <v/>
      </c>
    </row>
    <row r="27" customFormat="false" ht="15" hidden="false" customHeight="false" outlineLevel="0" collapsed="false">
      <c r="A27" s="40" t="str">
        <f aca="false">IF($M27="","",21)</f>
        <v/>
      </c>
      <c r="B27" s="62" t="str">
        <f aca="false">IF($M27="","",INT(INDEX(Bills!$S$8:$S$507,$M27)))</f>
        <v/>
      </c>
      <c r="C27" s="50" t="str">
        <f aca="false">IF($M27="","",INDEX(Bills!$D$8:$D$507,$M27))</f>
        <v/>
      </c>
      <c r="D27" s="63" t="str">
        <f aca="false">IF($M27="","",INDEX(Bills!$C$8:$C$507,$M27)&amp;"")</f>
        <v/>
      </c>
      <c r="E27" s="54" t="str">
        <f aca="false">IF($M27="","",INDEX(Bills!$B$8:$B$507,$M27))</f>
        <v/>
      </c>
      <c r="F27" s="54" t="str">
        <f aca="false">IF($M27="","",INDEX(Bills!$H$8:$H$507,$M27))</f>
        <v/>
      </c>
      <c r="G27" s="54" t="str">
        <f aca="false">IF($M27="","",INDEX(Bills!$M$8:$M$507,$M27))</f>
        <v/>
      </c>
      <c r="H27" s="47" t="str">
        <f aca="false">IF($M27="","",INDEX(Bills!$K$8:$K$507,$M27))</f>
        <v/>
      </c>
      <c r="I27" s="64" t="str">
        <f aca="false">IF($M27="","",B27-Setup!$C$11)</f>
        <v/>
      </c>
      <c r="J27" s="46" t="str">
        <f aca="false">IF($M27="","",SUM($H$7:H27))</f>
        <v/>
      </c>
      <c r="K27" s="63" t="str">
        <f aca="false">IF($M27="","",INDEX(Bills!$N$8:$N$507,$M27))</f>
        <v/>
      </c>
      <c r="M27" s="9" t="str">
        <f aca="false">IFERROR(MATCH(SMALL(Bills!$S$8:$S$507,21),Bills!$S$8:$S$507,0),"")</f>
        <v/>
      </c>
    </row>
    <row r="28" customFormat="false" ht="15" hidden="false" customHeight="false" outlineLevel="0" collapsed="false">
      <c r="A28" s="40" t="str">
        <f aca="false">IF($M28="","",22)</f>
        <v/>
      </c>
      <c r="B28" s="62" t="str">
        <f aca="false">IF($M28="","",INT(INDEX(Bills!$S$8:$S$507,$M28)))</f>
        <v/>
      </c>
      <c r="C28" s="50" t="str">
        <f aca="false">IF($M28="","",INDEX(Bills!$D$8:$D$507,$M28))</f>
        <v/>
      </c>
      <c r="D28" s="63" t="str">
        <f aca="false">IF($M28="","",INDEX(Bills!$C$8:$C$507,$M28)&amp;"")</f>
        <v/>
      </c>
      <c r="E28" s="54" t="str">
        <f aca="false">IF($M28="","",INDEX(Bills!$B$8:$B$507,$M28))</f>
        <v/>
      </c>
      <c r="F28" s="54" t="str">
        <f aca="false">IF($M28="","",INDEX(Bills!$H$8:$H$507,$M28))</f>
        <v/>
      </c>
      <c r="G28" s="54" t="str">
        <f aca="false">IF($M28="","",INDEX(Bills!$M$8:$M$507,$M28))</f>
        <v/>
      </c>
      <c r="H28" s="47" t="str">
        <f aca="false">IF($M28="","",INDEX(Bills!$K$8:$K$507,$M28))</f>
        <v/>
      </c>
      <c r="I28" s="64" t="str">
        <f aca="false">IF($M28="","",B28-Setup!$C$11)</f>
        <v/>
      </c>
      <c r="J28" s="46" t="str">
        <f aca="false">IF($M28="","",SUM($H$7:H28))</f>
        <v/>
      </c>
      <c r="K28" s="63" t="str">
        <f aca="false">IF($M28="","",INDEX(Bills!$N$8:$N$507,$M28))</f>
        <v/>
      </c>
      <c r="M28" s="9" t="str">
        <f aca="false">IFERROR(MATCH(SMALL(Bills!$S$8:$S$507,22),Bills!$S$8:$S$507,0),"")</f>
        <v/>
      </c>
    </row>
    <row r="29" customFormat="false" ht="15" hidden="false" customHeight="false" outlineLevel="0" collapsed="false">
      <c r="A29" s="40" t="str">
        <f aca="false">IF($M29="","",23)</f>
        <v/>
      </c>
      <c r="B29" s="62" t="str">
        <f aca="false">IF($M29="","",INT(INDEX(Bills!$S$8:$S$507,$M29)))</f>
        <v/>
      </c>
      <c r="C29" s="50" t="str">
        <f aca="false">IF($M29="","",INDEX(Bills!$D$8:$D$507,$M29))</f>
        <v/>
      </c>
      <c r="D29" s="63" t="str">
        <f aca="false">IF($M29="","",INDEX(Bills!$C$8:$C$507,$M29)&amp;"")</f>
        <v/>
      </c>
      <c r="E29" s="54" t="str">
        <f aca="false">IF($M29="","",INDEX(Bills!$B$8:$B$507,$M29))</f>
        <v/>
      </c>
      <c r="F29" s="54" t="str">
        <f aca="false">IF($M29="","",INDEX(Bills!$H$8:$H$507,$M29))</f>
        <v/>
      </c>
      <c r="G29" s="54" t="str">
        <f aca="false">IF($M29="","",INDEX(Bills!$M$8:$M$507,$M29))</f>
        <v/>
      </c>
      <c r="H29" s="47" t="str">
        <f aca="false">IF($M29="","",INDEX(Bills!$K$8:$K$507,$M29))</f>
        <v/>
      </c>
      <c r="I29" s="64" t="str">
        <f aca="false">IF($M29="","",B29-Setup!$C$11)</f>
        <v/>
      </c>
      <c r="J29" s="46" t="str">
        <f aca="false">IF($M29="","",SUM($H$7:H29))</f>
        <v/>
      </c>
      <c r="K29" s="63" t="str">
        <f aca="false">IF($M29="","",INDEX(Bills!$N$8:$N$507,$M29))</f>
        <v/>
      </c>
      <c r="M29" s="9" t="str">
        <f aca="false">IFERROR(MATCH(SMALL(Bills!$S$8:$S$507,23),Bills!$S$8:$S$507,0),"")</f>
        <v/>
      </c>
    </row>
    <row r="30" customFormat="false" ht="15" hidden="false" customHeight="false" outlineLevel="0" collapsed="false">
      <c r="A30" s="40" t="str">
        <f aca="false">IF($M30="","",24)</f>
        <v/>
      </c>
      <c r="B30" s="62" t="str">
        <f aca="false">IF($M30="","",INT(INDEX(Bills!$S$8:$S$507,$M30)))</f>
        <v/>
      </c>
      <c r="C30" s="50" t="str">
        <f aca="false">IF($M30="","",INDEX(Bills!$D$8:$D$507,$M30))</f>
        <v/>
      </c>
      <c r="D30" s="63" t="str">
        <f aca="false">IF($M30="","",INDEX(Bills!$C$8:$C$507,$M30)&amp;"")</f>
        <v/>
      </c>
      <c r="E30" s="54" t="str">
        <f aca="false">IF($M30="","",INDEX(Bills!$B$8:$B$507,$M30))</f>
        <v/>
      </c>
      <c r="F30" s="54" t="str">
        <f aca="false">IF($M30="","",INDEX(Bills!$H$8:$H$507,$M30))</f>
        <v/>
      </c>
      <c r="G30" s="54" t="str">
        <f aca="false">IF($M30="","",INDEX(Bills!$M$8:$M$507,$M30))</f>
        <v/>
      </c>
      <c r="H30" s="47" t="str">
        <f aca="false">IF($M30="","",INDEX(Bills!$K$8:$K$507,$M30))</f>
        <v/>
      </c>
      <c r="I30" s="64" t="str">
        <f aca="false">IF($M30="","",B30-Setup!$C$11)</f>
        <v/>
      </c>
      <c r="J30" s="46" t="str">
        <f aca="false">IF($M30="","",SUM($H$7:H30))</f>
        <v/>
      </c>
      <c r="K30" s="63" t="str">
        <f aca="false">IF($M30="","",INDEX(Bills!$N$8:$N$507,$M30))</f>
        <v/>
      </c>
      <c r="M30" s="9" t="str">
        <f aca="false">IFERROR(MATCH(SMALL(Bills!$S$8:$S$507,24),Bills!$S$8:$S$507,0),"")</f>
        <v/>
      </c>
    </row>
    <row r="31" customFormat="false" ht="15" hidden="false" customHeight="false" outlineLevel="0" collapsed="false">
      <c r="A31" s="40" t="str">
        <f aca="false">IF($M31="","",25)</f>
        <v/>
      </c>
      <c r="B31" s="62" t="str">
        <f aca="false">IF($M31="","",INT(INDEX(Bills!$S$8:$S$507,$M31)))</f>
        <v/>
      </c>
      <c r="C31" s="50" t="str">
        <f aca="false">IF($M31="","",INDEX(Bills!$D$8:$D$507,$M31))</f>
        <v/>
      </c>
      <c r="D31" s="63" t="str">
        <f aca="false">IF($M31="","",INDEX(Bills!$C$8:$C$507,$M31)&amp;"")</f>
        <v/>
      </c>
      <c r="E31" s="54" t="str">
        <f aca="false">IF($M31="","",INDEX(Bills!$B$8:$B$507,$M31))</f>
        <v/>
      </c>
      <c r="F31" s="54" t="str">
        <f aca="false">IF($M31="","",INDEX(Bills!$H$8:$H$507,$M31))</f>
        <v/>
      </c>
      <c r="G31" s="54" t="str">
        <f aca="false">IF($M31="","",INDEX(Bills!$M$8:$M$507,$M31))</f>
        <v/>
      </c>
      <c r="H31" s="47" t="str">
        <f aca="false">IF($M31="","",INDEX(Bills!$K$8:$K$507,$M31))</f>
        <v/>
      </c>
      <c r="I31" s="64" t="str">
        <f aca="false">IF($M31="","",B31-Setup!$C$11)</f>
        <v/>
      </c>
      <c r="J31" s="46" t="str">
        <f aca="false">IF($M31="","",SUM($H$7:H31))</f>
        <v/>
      </c>
      <c r="K31" s="63" t="str">
        <f aca="false">IF($M31="","",INDEX(Bills!$N$8:$N$507,$M31))</f>
        <v/>
      </c>
      <c r="M31" s="9" t="str">
        <f aca="false">IFERROR(MATCH(SMALL(Bills!$S$8:$S$507,25),Bills!$S$8:$S$507,0),"")</f>
        <v/>
      </c>
    </row>
    <row r="32" customFormat="false" ht="15" hidden="false" customHeight="false" outlineLevel="0" collapsed="false">
      <c r="A32" s="40" t="str">
        <f aca="false">IF($M32="","",26)</f>
        <v/>
      </c>
      <c r="B32" s="62" t="str">
        <f aca="false">IF($M32="","",INT(INDEX(Bills!$S$8:$S$507,$M32)))</f>
        <v/>
      </c>
      <c r="C32" s="50" t="str">
        <f aca="false">IF($M32="","",INDEX(Bills!$D$8:$D$507,$M32))</f>
        <v/>
      </c>
      <c r="D32" s="63" t="str">
        <f aca="false">IF($M32="","",INDEX(Bills!$C$8:$C$507,$M32)&amp;"")</f>
        <v/>
      </c>
      <c r="E32" s="54" t="str">
        <f aca="false">IF($M32="","",INDEX(Bills!$B$8:$B$507,$M32))</f>
        <v/>
      </c>
      <c r="F32" s="54" t="str">
        <f aca="false">IF($M32="","",INDEX(Bills!$H$8:$H$507,$M32))</f>
        <v/>
      </c>
      <c r="G32" s="54" t="str">
        <f aca="false">IF($M32="","",INDEX(Bills!$M$8:$M$507,$M32))</f>
        <v/>
      </c>
      <c r="H32" s="47" t="str">
        <f aca="false">IF($M32="","",INDEX(Bills!$K$8:$K$507,$M32))</f>
        <v/>
      </c>
      <c r="I32" s="64" t="str">
        <f aca="false">IF($M32="","",B32-Setup!$C$11)</f>
        <v/>
      </c>
      <c r="J32" s="46" t="str">
        <f aca="false">IF($M32="","",SUM($H$7:H32))</f>
        <v/>
      </c>
      <c r="K32" s="63" t="str">
        <f aca="false">IF($M32="","",INDEX(Bills!$N$8:$N$507,$M32))</f>
        <v/>
      </c>
      <c r="M32" s="9" t="str">
        <f aca="false">IFERROR(MATCH(SMALL(Bills!$S$8:$S$507,26),Bills!$S$8:$S$507,0),"")</f>
        <v/>
      </c>
    </row>
    <row r="33" customFormat="false" ht="15" hidden="false" customHeight="false" outlineLevel="0" collapsed="false">
      <c r="A33" s="40" t="str">
        <f aca="false">IF($M33="","",27)</f>
        <v/>
      </c>
      <c r="B33" s="62" t="str">
        <f aca="false">IF($M33="","",INT(INDEX(Bills!$S$8:$S$507,$M33)))</f>
        <v/>
      </c>
      <c r="C33" s="50" t="str">
        <f aca="false">IF($M33="","",INDEX(Bills!$D$8:$D$507,$M33))</f>
        <v/>
      </c>
      <c r="D33" s="63" t="str">
        <f aca="false">IF($M33="","",INDEX(Bills!$C$8:$C$507,$M33)&amp;"")</f>
        <v/>
      </c>
      <c r="E33" s="54" t="str">
        <f aca="false">IF($M33="","",INDEX(Bills!$B$8:$B$507,$M33))</f>
        <v/>
      </c>
      <c r="F33" s="54" t="str">
        <f aca="false">IF($M33="","",INDEX(Bills!$H$8:$H$507,$M33))</f>
        <v/>
      </c>
      <c r="G33" s="54" t="str">
        <f aca="false">IF($M33="","",INDEX(Bills!$M$8:$M$507,$M33))</f>
        <v/>
      </c>
      <c r="H33" s="47" t="str">
        <f aca="false">IF($M33="","",INDEX(Bills!$K$8:$K$507,$M33))</f>
        <v/>
      </c>
      <c r="I33" s="64" t="str">
        <f aca="false">IF($M33="","",B33-Setup!$C$11)</f>
        <v/>
      </c>
      <c r="J33" s="46" t="str">
        <f aca="false">IF($M33="","",SUM($H$7:H33))</f>
        <v/>
      </c>
      <c r="K33" s="63" t="str">
        <f aca="false">IF($M33="","",INDEX(Bills!$N$8:$N$507,$M33))</f>
        <v/>
      </c>
      <c r="M33" s="9" t="str">
        <f aca="false">IFERROR(MATCH(SMALL(Bills!$S$8:$S$507,27),Bills!$S$8:$S$507,0),"")</f>
        <v/>
      </c>
    </row>
    <row r="34" customFormat="false" ht="15" hidden="false" customHeight="false" outlineLevel="0" collapsed="false">
      <c r="A34" s="40" t="str">
        <f aca="false">IF($M34="","",28)</f>
        <v/>
      </c>
      <c r="B34" s="62" t="str">
        <f aca="false">IF($M34="","",INT(INDEX(Bills!$S$8:$S$507,$M34)))</f>
        <v/>
      </c>
      <c r="C34" s="50" t="str">
        <f aca="false">IF($M34="","",INDEX(Bills!$D$8:$D$507,$M34))</f>
        <v/>
      </c>
      <c r="D34" s="63" t="str">
        <f aca="false">IF($M34="","",INDEX(Bills!$C$8:$C$507,$M34)&amp;"")</f>
        <v/>
      </c>
      <c r="E34" s="54" t="str">
        <f aca="false">IF($M34="","",INDEX(Bills!$B$8:$B$507,$M34))</f>
        <v/>
      </c>
      <c r="F34" s="54" t="str">
        <f aca="false">IF($M34="","",INDEX(Bills!$H$8:$H$507,$M34))</f>
        <v/>
      </c>
      <c r="G34" s="54" t="str">
        <f aca="false">IF($M34="","",INDEX(Bills!$M$8:$M$507,$M34))</f>
        <v/>
      </c>
      <c r="H34" s="47" t="str">
        <f aca="false">IF($M34="","",INDEX(Bills!$K$8:$K$507,$M34))</f>
        <v/>
      </c>
      <c r="I34" s="64" t="str">
        <f aca="false">IF($M34="","",B34-Setup!$C$11)</f>
        <v/>
      </c>
      <c r="J34" s="46" t="str">
        <f aca="false">IF($M34="","",SUM($H$7:H34))</f>
        <v/>
      </c>
      <c r="K34" s="63" t="str">
        <f aca="false">IF($M34="","",INDEX(Bills!$N$8:$N$507,$M34))</f>
        <v/>
      </c>
      <c r="M34" s="9" t="str">
        <f aca="false">IFERROR(MATCH(SMALL(Bills!$S$8:$S$507,28),Bills!$S$8:$S$507,0),"")</f>
        <v/>
      </c>
    </row>
    <row r="35" customFormat="false" ht="15" hidden="false" customHeight="false" outlineLevel="0" collapsed="false">
      <c r="A35" s="40" t="str">
        <f aca="false">IF($M35="","",29)</f>
        <v/>
      </c>
      <c r="B35" s="62" t="str">
        <f aca="false">IF($M35="","",INT(INDEX(Bills!$S$8:$S$507,$M35)))</f>
        <v/>
      </c>
      <c r="C35" s="50" t="str">
        <f aca="false">IF($M35="","",INDEX(Bills!$D$8:$D$507,$M35))</f>
        <v/>
      </c>
      <c r="D35" s="63" t="str">
        <f aca="false">IF($M35="","",INDEX(Bills!$C$8:$C$507,$M35)&amp;"")</f>
        <v/>
      </c>
      <c r="E35" s="54" t="str">
        <f aca="false">IF($M35="","",INDEX(Bills!$B$8:$B$507,$M35))</f>
        <v/>
      </c>
      <c r="F35" s="54" t="str">
        <f aca="false">IF($M35="","",INDEX(Bills!$H$8:$H$507,$M35))</f>
        <v/>
      </c>
      <c r="G35" s="54" t="str">
        <f aca="false">IF($M35="","",INDEX(Bills!$M$8:$M$507,$M35))</f>
        <v/>
      </c>
      <c r="H35" s="47" t="str">
        <f aca="false">IF($M35="","",INDEX(Bills!$K$8:$K$507,$M35))</f>
        <v/>
      </c>
      <c r="I35" s="64" t="str">
        <f aca="false">IF($M35="","",B35-Setup!$C$11)</f>
        <v/>
      </c>
      <c r="J35" s="46" t="str">
        <f aca="false">IF($M35="","",SUM($H$7:H35))</f>
        <v/>
      </c>
      <c r="K35" s="63" t="str">
        <f aca="false">IF($M35="","",INDEX(Bills!$N$8:$N$507,$M35))</f>
        <v/>
      </c>
      <c r="M35" s="9" t="str">
        <f aca="false">IFERROR(MATCH(SMALL(Bills!$S$8:$S$507,29),Bills!$S$8:$S$507,0),"")</f>
        <v/>
      </c>
    </row>
    <row r="36" customFormat="false" ht="15" hidden="false" customHeight="false" outlineLevel="0" collapsed="false">
      <c r="A36" s="40" t="str">
        <f aca="false">IF($M36="","",30)</f>
        <v/>
      </c>
      <c r="B36" s="62" t="str">
        <f aca="false">IF($M36="","",INT(INDEX(Bills!$S$8:$S$507,$M36)))</f>
        <v/>
      </c>
      <c r="C36" s="50" t="str">
        <f aca="false">IF($M36="","",INDEX(Bills!$D$8:$D$507,$M36))</f>
        <v/>
      </c>
      <c r="D36" s="63" t="str">
        <f aca="false">IF($M36="","",INDEX(Bills!$C$8:$C$507,$M36)&amp;"")</f>
        <v/>
      </c>
      <c r="E36" s="54" t="str">
        <f aca="false">IF($M36="","",INDEX(Bills!$B$8:$B$507,$M36))</f>
        <v/>
      </c>
      <c r="F36" s="54" t="str">
        <f aca="false">IF($M36="","",INDEX(Bills!$H$8:$H$507,$M36))</f>
        <v/>
      </c>
      <c r="G36" s="54" t="str">
        <f aca="false">IF($M36="","",INDEX(Bills!$M$8:$M$507,$M36))</f>
        <v/>
      </c>
      <c r="H36" s="47" t="str">
        <f aca="false">IF($M36="","",INDEX(Bills!$K$8:$K$507,$M36))</f>
        <v/>
      </c>
      <c r="I36" s="64" t="str">
        <f aca="false">IF($M36="","",B36-Setup!$C$11)</f>
        <v/>
      </c>
      <c r="J36" s="46" t="str">
        <f aca="false">IF($M36="","",SUM($H$7:H36))</f>
        <v/>
      </c>
      <c r="K36" s="63" t="str">
        <f aca="false">IF($M36="","",INDEX(Bills!$N$8:$N$507,$M36))</f>
        <v/>
      </c>
      <c r="M36" s="9" t="str">
        <f aca="false">IFERROR(MATCH(SMALL(Bills!$S$8:$S$507,30),Bills!$S$8:$S$507,0),"")</f>
        <v/>
      </c>
    </row>
    <row r="37" customFormat="false" ht="15" hidden="false" customHeight="false" outlineLevel="0" collapsed="false">
      <c r="A37" s="40" t="str">
        <f aca="false">IF($M37="","",31)</f>
        <v/>
      </c>
      <c r="B37" s="62" t="str">
        <f aca="false">IF($M37="","",INT(INDEX(Bills!$S$8:$S$507,$M37)))</f>
        <v/>
      </c>
      <c r="C37" s="50" t="str">
        <f aca="false">IF($M37="","",INDEX(Bills!$D$8:$D$507,$M37))</f>
        <v/>
      </c>
      <c r="D37" s="63" t="str">
        <f aca="false">IF($M37="","",INDEX(Bills!$C$8:$C$507,$M37)&amp;"")</f>
        <v/>
      </c>
      <c r="E37" s="54" t="str">
        <f aca="false">IF($M37="","",INDEX(Bills!$B$8:$B$507,$M37))</f>
        <v/>
      </c>
      <c r="F37" s="54" t="str">
        <f aca="false">IF($M37="","",INDEX(Bills!$H$8:$H$507,$M37))</f>
        <v/>
      </c>
      <c r="G37" s="54" t="str">
        <f aca="false">IF($M37="","",INDEX(Bills!$M$8:$M$507,$M37))</f>
        <v/>
      </c>
      <c r="H37" s="47" t="str">
        <f aca="false">IF($M37="","",INDEX(Bills!$K$8:$K$507,$M37))</f>
        <v/>
      </c>
      <c r="I37" s="64" t="str">
        <f aca="false">IF($M37="","",B37-Setup!$C$11)</f>
        <v/>
      </c>
      <c r="J37" s="46" t="str">
        <f aca="false">IF($M37="","",SUM($H$7:H37))</f>
        <v/>
      </c>
      <c r="K37" s="63" t="str">
        <f aca="false">IF($M37="","",INDEX(Bills!$N$8:$N$507,$M37))</f>
        <v/>
      </c>
      <c r="M37" s="9" t="str">
        <f aca="false">IFERROR(MATCH(SMALL(Bills!$S$8:$S$507,31),Bills!$S$8:$S$507,0),"")</f>
        <v/>
      </c>
    </row>
    <row r="38" customFormat="false" ht="15" hidden="false" customHeight="false" outlineLevel="0" collapsed="false">
      <c r="A38" s="40" t="str">
        <f aca="false">IF($M38="","",32)</f>
        <v/>
      </c>
      <c r="B38" s="62" t="str">
        <f aca="false">IF($M38="","",INT(INDEX(Bills!$S$8:$S$507,$M38)))</f>
        <v/>
      </c>
      <c r="C38" s="50" t="str">
        <f aca="false">IF($M38="","",INDEX(Bills!$D$8:$D$507,$M38))</f>
        <v/>
      </c>
      <c r="D38" s="63" t="str">
        <f aca="false">IF($M38="","",INDEX(Bills!$C$8:$C$507,$M38)&amp;"")</f>
        <v/>
      </c>
      <c r="E38" s="54" t="str">
        <f aca="false">IF($M38="","",INDEX(Bills!$B$8:$B$507,$M38))</f>
        <v/>
      </c>
      <c r="F38" s="54" t="str">
        <f aca="false">IF($M38="","",INDEX(Bills!$H$8:$H$507,$M38))</f>
        <v/>
      </c>
      <c r="G38" s="54" t="str">
        <f aca="false">IF($M38="","",INDEX(Bills!$M$8:$M$507,$M38))</f>
        <v/>
      </c>
      <c r="H38" s="47" t="str">
        <f aca="false">IF($M38="","",INDEX(Bills!$K$8:$K$507,$M38))</f>
        <v/>
      </c>
      <c r="I38" s="64" t="str">
        <f aca="false">IF($M38="","",B38-Setup!$C$11)</f>
        <v/>
      </c>
      <c r="J38" s="46" t="str">
        <f aca="false">IF($M38="","",SUM($H$7:H38))</f>
        <v/>
      </c>
      <c r="K38" s="63" t="str">
        <f aca="false">IF($M38="","",INDEX(Bills!$N$8:$N$507,$M38))</f>
        <v/>
      </c>
      <c r="M38" s="9" t="str">
        <f aca="false">IFERROR(MATCH(SMALL(Bills!$S$8:$S$507,32),Bills!$S$8:$S$507,0),"")</f>
        <v/>
      </c>
    </row>
    <row r="39" customFormat="false" ht="15" hidden="false" customHeight="false" outlineLevel="0" collapsed="false">
      <c r="A39" s="40" t="str">
        <f aca="false">IF($M39="","",33)</f>
        <v/>
      </c>
      <c r="B39" s="62" t="str">
        <f aca="false">IF($M39="","",INT(INDEX(Bills!$S$8:$S$507,$M39)))</f>
        <v/>
      </c>
      <c r="C39" s="50" t="str">
        <f aca="false">IF($M39="","",INDEX(Bills!$D$8:$D$507,$M39))</f>
        <v/>
      </c>
      <c r="D39" s="63" t="str">
        <f aca="false">IF($M39="","",INDEX(Bills!$C$8:$C$507,$M39)&amp;"")</f>
        <v/>
      </c>
      <c r="E39" s="54" t="str">
        <f aca="false">IF($M39="","",INDEX(Bills!$B$8:$B$507,$M39))</f>
        <v/>
      </c>
      <c r="F39" s="54" t="str">
        <f aca="false">IF($M39="","",INDEX(Bills!$H$8:$H$507,$M39))</f>
        <v/>
      </c>
      <c r="G39" s="54" t="str">
        <f aca="false">IF($M39="","",INDEX(Bills!$M$8:$M$507,$M39))</f>
        <v/>
      </c>
      <c r="H39" s="47" t="str">
        <f aca="false">IF($M39="","",INDEX(Bills!$K$8:$K$507,$M39))</f>
        <v/>
      </c>
      <c r="I39" s="64" t="str">
        <f aca="false">IF($M39="","",B39-Setup!$C$11)</f>
        <v/>
      </c>
      <c r="J39" s="46" t="str">
        <f aca="false">IF($M39="","",SUM($H$7:H39))</f>
        <v/>
      </c>
      <c r="K39" s="63" t="str">
        <f aca="false">IF($M39="","",INDEX(Bills!$N$8:$N$507,$M39))</f>
        <v/>
      </c>
      <c r="M39" s="9" t="str">
        <f aca="false">IFERROR(MATCH(SMALL(Bills!$S$8:$S$507,33),Bills!$S$8:$S$507,0),"")</f>
        <v/>
      </c>
    </row>
    <row r="40" customFormat="false" ht="15" hidden="false" customHeight="false" outlineLevel="0" collapsed="false">
      <c r="A40" s="40" t="str">
        <f aca="false">IF($M40="","",34)</f>
        <v/>
      </c>
      <c r="B40" s="62" t="str">
        <f aca="false">IF($M40="","",INT(INDEX(Bills!$S$8:$S$507,$M40)))</f>
        <v/>
      </c>
      <c r="C40" s="50" t="str">
        <f aca="false">IF($M40="","",INDEX(Bills!$D$8:$D$507,$M40))</f>
        <v/>
      </c>
      <c r="D40" s="63" t="str">
        <f aca="false">IF($M40="","",INDEX(Bills!$C$8:$C$507,$M40)&amp;"")</f>
        <v/>
      </c>
      <c r="E40" s="54" t="str">
        <f aca="false">IF($M40="","",INDEX(Bills!$B$8:$B$507,$M40))</f>
        <v/>
      </c>
      <c r="F40" s="54" t="str">
        <f aca="false">IF($M40="","",INDEX(Bills!$H$8:$H$507,$M40))</f>
        <v/>
      </c>
      <c r="G40" s="54" t="str">
        <f aca="false">IF($M40="","",INDEX(Bills!$M$8:$M$507,$M40))</f>
        <v/>
      </c>
      <c r="H40" s="47" t="str">
        <f aca="false">IF($M40="","",INDEX(Bills!$K$8:$K$507,$M40))</f>
        <v/>
      </c>
      <c r="I40" s="64" t="str">
        <f aca="false">IF($M40="","",B40-Setup!$C$11)</f>
        <v/>
      </c>
      <c r="J40" s="46" t="str">
        <f aca="false">IF($M40="","",SUM($H$7:H40))</f>
        <v/>
      </c>
      <c r="K40" s="63" t="str">
        <f aca="false">IF($M40="","",INDEX(Bills!$N$8:$N$507,$M40))</f>
        <v/>
      </c>
      <c r="M40" s="9" t="str">
        <f aca="false">IFERROR(MATCH(SMALL(Bills!$S$8:$S$507,34),Bills!$S$8:$S$507,0),"")</f>
        <v/>
      </c>
    </row>
    <row r="41" customFormat="false" ht="15" hidden="false" customHeight="false" outlineLevel="0" collapsed="false">
      <c r="A41" s="40" t="str">
        <f aca="false">IF($M41="","",35)</f>
        <v/>
      </c>
      <c r="B41" s="62" t="str">
        <f aca="false">IF($M41="","",INT(INDEX(Bills!$S$8:$S$507,$M41)))</f>
        <v/>
      </c>
      <c r="C41" s="50" t="str">
        <f aca="false">IF($M41="","",INDEX(Bills!$D$8:$D$507,$M41))</f>
        <v/>
      </c>
      <c r="D41" s="63" t="str">
        <f aca="false">IF($M41="","",INDEX(Bills!$C$8:$C$507,$M41)&amp;"")</f>
        <v/>
      </c>
      <c r="E41" s="54" t="str">
        <f aca="false">IF($M41="","",INDEX(Bills!$B$8:$B$507,$M41))</f>
        <v/>
      </c>
      <c r="F41" s="54" t="str">
        <f aca="false">IF($M41="","",INDEX(Bills!$H$8:$H$507,$M41))</f>
        <v/>
      </c>
      <c r="G41" s="54" t="str">
        <f aca="false">IF($M41="","",INDEX(Bills!$M$8:$M$507,$M41))</f>
        <v/>
      </c>
      <c r="H41" s="47" t="str">
        <f aca="false">IF($M41="","",INDEX(Bills!$K$8:$K$507,$M41))</f>
        <v/>
      </c>
      <c r="I41" s="64" t="str">
        <f aca="false">IF($M41="","",B41-Setup!$C$11)</f>
        <v/>
      </c>
      <c r="J41" s="46" t="str">
        <f aca="false">IF($M41="","",SUM($H$7:H41))</f>
        <v/>
      </c>
      <c r="K41" s="63" t="str">
        <f aca="false">IF($M41="","",INDEX(Bills!$N$8:$N$507,$M41))</f>
        <v/>
      </c>
      <c r="M41" s="9" t="str">
        <f aca="false">IFERROR(MATCH(SMALL(Bills!$S$8:$S$507,35),Bills!$S$8:$S$507,0),"")</f>
        <v/>
      </c>
    </row>
    <row r="42" customFormat="false" ht="15" hidden="false" customHeight="false" outlineLevel="0" collapsed="false">
      <c r="A42" s="40" t="str">
        <f aca="false">IF($M42="","",36)</f>
        <v/>
      </c>
      <c r="B42" s="62" t="str">
        <f aca="false">IF($M42="","",INT(INDEX(Bills!$S$8:$S$507,$M42)))</f>
        <v/>
      </c>
      <c r="C42" s="50" t="str">
        <f aca="false">IF($M42="","",INDEX(Bills!$D$8:$D$507,$M42))</f>
        <v/>
      </c>
      <c r="D42" s="63" t="str">
        <f aca="false">IF($M42="","",INDEX(Bills!$C$8:$C$507,$M42)&amp;"")</f>
        <v/>
      </c>
      <c r="E42" s="54" t="str">
        <f aca="false">IF($M42="","",INDEX(Bills!$B$8:$B$507,$M42))</f>
        <v/>
      </c>
      <c r="F42" s="54" t="str">
        <f aca="false">IF($M42="","",INDEX(Bills!$H$8:$H$507,$M42))</f>
        <v/>
      </c>
      <c r="G42" s="54" t="str">
        <f aca="false">IF($M42="","",INDEX(Bills!$M$8:$M$507,$M42))</f>
        <v/>
      </c>
      <c r="H42" s="47" t="str">
        <f aca="false">IF($M42="","",INDEX(Bills!$K$8:$K$507,$M42))</f>
        <v/>
      </c>
      <c r="I42" s="64" t="str">
        <f aca="false">IF($M42="","",B42-Setup!$C$11)</f>
        <v/>
      </c>
      <c r="J42" s="46" t="str">
        <f aca="false">IF($M42="","",SUM($H$7:H42))</f>
        <v/>
      </c>
      <c r="K42" s="63" t="str">
        <f aca="false">IF($M42="","",INDEX(Bills!$N$8:$N$507,$M42))</f>
        <v/>
      </c>
      <c r="M42" s="9" t="str">
        <f aca="false">IFERROR(MATCH(SMALL(Bills!$S$8:$S$507,36),Bills!$S$8:$S$507,0),"")</f>
        <v/>
      </c>
    </row>
    <row r="43" customFormat="false" ht="15" hidden="false" customHeight="false" outlineLevel="0" collapsed="false">
      <c r="A43" s="40" t="str">
        <f aca="false">IF($M43="","",37)</f>
        <v/>
      </c>
      <c r="B43" s="62" t="str">
        <f aca="false">IF($M43="","",INT(INDEX(Bills!$S$8:$S$507,$M43)))</f>
        <v/>
      </c>
      <c r="C43" s="50" t="str">
        <f aca="false">IF($M43="","",INDEX(Bills!$D$8:$D$507,$M43))</f>
        <v/>
      </c>
      <c r="D43" s="63" t="str">
        <f aca="false">IF($M43="","",INDEX(Bills!$C$8:$C$507,$M43)&amp;"")</f>
        <v/>
      </c>
      <c r="E43" s="54" t="str">
        <f aca="false">IF($M43="","",INDEX(Bills!$B$8:$B$507,$M43))</f>
        <v/>
      </c>
      <c r="F43" s="54" t="str">
        <f aca="false">IF($M43="","",INDEX(Bills!$H$8:$H$507,$M43))</f>
        <v/>
      </c>
      <c r="G43" s="54" t="str">
        <f aca="false">IF($M43="","",INDEX(Bills!$M$8:$M$507,$M43))</f>
        <v/>
      </c>
      <c r="H43" s="47" t="str">
        <f aca="false">IF($M43="","",INDEX(Bills!$K$8:$K$507,$M43))</f>
        <v/>
      </c>
      <c r="I43" s="64" t="str">
        <f aca="false">IF($M43="","",B43-Setup!$C$11)</f>
        <v/>
      </c>
      <c r="J43" s="46" t="str">
        <f aca="false">IF($M43="","",SUM($H$7:H43))</f>
        <v/>
      </c>
      <c r="K43" s="63" t="str">
        <f aca="false">IF($M43="","",INDEX(Bills!$N$8:$N$507,$M43))</f>
        <v/>
      </c>
      <c r="M43" s="9" t="str">
        <f aca="false">IFERROR(MATCH(SMALL(Bills!$S$8:$S$507,37),Bills!$S$8:$S$507,0),"")</f>
        <v/>
      </c>
    </row>
    <row r="44" customFormat="false" ht="15" hidden="false" customHeight="false" outlineLevel="0" collapsed="false">
      <c r="A44" s="40" t="str">
        <f aca="false">IF($M44="","",38)</f>
        <v/>
      </c>
      <c r="B44" s="62" t="str">
        <f aca="false">IF($M44="","",INT(INDEX(Bills!$S$8:$S$507,$M44)))</f>
        <v/>
      </c>
      <c r="C44" s="50" t="str">
        <f aca="false">IF($M44="","",INDEX(Bills!$D$8:$D$507,$M44))</f>
        <v/>
      </c>
      <c r="D44" s="63" t="str">
        <f aca="false">IF($M44="","",INDEX(Bills!$C$8:$C$507,$M44)&amp;"")</f>
        <v/>
      </c>
      <c r="E44" s="54" t="str">
        <f aca="false">IF($M44="","",INDEX(Bills!$B$8:$B$507,$M44))</f>
        <v/>
      </c>
      <c r="F44" s="54" t="str">
        <f aca="false">IF($M44="","",INDEX(Bills!$H$8:$H$507,$M44))</f>
        <v/>
      </c>
      <c r="G44" s="54" t="str">
        <f aca="false">IF($M44="","",INDEX(Bills!$M$8:$M$507,$M44))</f>
        <v/>
      </c>
      <c r="H44" s="47" t="str">
        <f aca="false">IF($M44="","",INDEX(Bills!$K$8:$K$507,$M44))</f>
        <v/>
      </c>
      <c r="I44" s="64" t="str">
        <f aca="false">IF($M44="","",B44-Setup!$C$11)</f>
        <v/>
      </c>
      <c r="J44" s="46" t="str">
        <f aca="false">IF($M44="","",SUM($H$7:H44))</f>
        <v/>
      </c>
      <c r="K44" s="63" t="str">
        <f aca="false">IF($M44="","",INDEX(Bills!$N$8:$N$507,$M44))</f>
        <v/>
      </c>
      <c r="M44" s="9" t="str">
        <f aca="false">IFERROR(MATCH(SMALL(Bills!$S$8:$S$507,38),Bills!$S$8:$S$507,0),"")</f>
        <v/>
      </c>
    </row>
    <row r="45" customFormat="false" ht="15" hidden="false" customHeight="false" outlineLevel="0" collapsed="false">
      <c r="A45" s="40" t="str">
        <f aca="false">IF($M45="","",39)</f>
        <v/>
      </c>
      <c r="B45" s="62" t="str">
        <f aca="false">IF($M45="","",INT(INDEX(Bills!$S$8:$S$507,$M45)))</f>
        <v/>
      </c>
      <c r="C45" s="50" t="str">
        <f aca="false">IF($M45="","",INDEX(Bills!$D$8:$D$507,$M45))</f>
        <v/>
      </c>
      <c r="D45" s="63" t="str">
        <f aca="false">IF($M45="","",INDEX(Bills!$C$8:$C$507,$M45)&amp;"")</f>
        <v/>
      </c>
      <c r="E45" s="54" t="str">
        <f aca="false">IF($M45="","",INDEX(Bills!$B$8:$B$507,$M45))</f>
        <v/>
      </c>
      <c r="F45" s="54" t="str">
        <f aca="false">IF($M45="","",INDEX(Bills!$H$8:$H$507,$M45))</f>
        <v/>
      </c>
      <c r="G45" s="54" t="str">
        <f aca="false">IF($M45="","",INDEX(Bills!$M$8:$M$507,$M45))</f>
        <v/>
      </c>
      <c r="H45" s="47" t="str">
        <f aca="false">IF($M45="","",INDEX(Bills!$K$8:$K$507,$M45))</f>
        <v/>
      </c>
      <c r="I45" s="64" t="str">
        <f aca="false">IF($M45="","",B45-Setup!$C$11)</f>
        <v/>
      </c>
      <c r="J45" s="46" t="str">
        <f aca="false">IF($M45="","",SUM($H$7:H45))</f>
        <v/>
      </c>
      <c r="K45" s="63" t="str">
        <f aca="false">IF($M45="","",INDEX(Bills!$N$8:$N$507,$M45))</f>
        <v/>
      </c>
      <c r="M45" s="9" t="str">
        <f aca="false">IFERROR(MATCH(SMALL(Bills!$S$8:$S$507,39),Bills!$S$8:$S$507,0),"")</f>
        <v/>
      </c>
    </row>
    <row r="46" customFormat="false" ht="15" hidden="false" customHeight="false" outlineLevel="0" collapsed="false">
      <c r="A46" s="40" t="str">
        <f aca="false">IF($M46="","",40)</f>
        <v/>
      </c>
      <c r="B46" s="62" t="str">
        <f aca="false">IF($M46="","",INT(INDEX(Bills!$S$8:$S$507,$M46)))</f>
        <v/>
      </c>
      <c r="C46" s="50" t="str">
        <f aca="false">IF($M46="","",INDEX(Bills!$D$8:$D$507,$M46))</f>
        <v/>
      </c>
      <c r="D46" s="63" t="str">
        <f aca="false">IF($M46="","",INDEX(Bills!$C$8:$C$507,$M46)&amp;"")</f>
        <v/>
      </c>
      <c r="E46" s="54" t="str">
        <f aca="false">IF($M46="","",INDEX(Bills!$B$8:$B$507,$M46))</f>
        <v/>
      </c>
      <c r="F46" s="54" t="str">
        <f aca="false">IF($M46="","",INDEX(Bills!$H$8:$H$507,$M46))</f>
        <v/>
      </c>
      <c r="G46" s="54" t="str">
        <f aca="false">IF($M46="","",INDEX(Bills!$M$8:$M$507,$M46))</f>
        <v/>
      </c>
      <c r="H46" s="47" t="str">
        <f aca="false">IF($M46="","",INDEX(Bills!$K$8:$K$507,$M46))</f>
        <v/>
      </c>
      <c r="I46" s="64" t="str">
        <f aca="false">IF($M46="","",B46-Setup!$C$11)</f>
        <v/>
      </c>
      <c r="J46" s="46" t="str">
        <f aca="false">IF($M46="","",SUM($H$7:H46))</f>
        <v/>
      </c>
      <c r="K46" s="63" t="str">
        <f aca="false">IF($M46="","",INDEX(Bills!$N$8:$N$507,$M46))</f>
        <v/>
      </c>
      <c r="M46" s="9" t="str">
        <f aca="false">IFERROR(MATCH(SMALL(Bills!$S$8:$S$507,40),Bills!$S$8:$S$507,0),"")</f>
        <v/>
      </c>
    </row>
    <row r="47" customFormat="false" ht="15" hidden="false" customHeight="false" outlineLevel="0" collapsed="false">
      <c r="A47" s="40" t="str">
        <f aca="false">IF($M47="","",41)</f>
        <v/>
      </c>
      <c r="B47" s="62" t="str">
        <f aca="false">IF($M47="","",INT(INDEX(Bills!$S$8:$S$507,$M47)))</f>
        <v/>
      </c>
      <c r="C47" s="50" t="str">
        <f aca="false">IF($M47="","",INDEX(Bills!$D$8:$D$507,$M47))</f>
        <v/>
      </c>
      <c r="D47" s="63" t="str">
        <f aca="false">IF($M47="","",INDEX(Bills!$C$8:$C$507,$M47)&amp;"")</f>
        <v/>
      </c>
      <c r="E47" s="54" t="str">
        <f aca="false">IF($M47="","",INDEX(Bills!$B$8:$B$507,$M47))</f>
        <v/>
      </c>
      <c r="F47" s="54" t="str">
        <f aca="false">IF($M47="","",INDEX(Bills!$H$8:$H$507,$M47))</f>
        <v/>
      </c>
      <c r="G47" s="54" t="str">
        <f aca="false">IF($M47="","",INDEX(Bills!$M$8:$M$507,$M47))</f>
        <v/>
      </c>
      <c r="H47" s="47" t="str">
        <f aca="false">IF($M47="","",INDEX(Bills!$K$8:$K$507,$M47))</f>
        <v/>
      </c>
      <c r="I47" s="64" t="str">
        <f aca="false">IF($M47="","",B47-Setup!$C$11)</f>
        <v/>
      </c>
      <c r="J47" s="46" t="str">
        <f aca="false">IF($M47="","",SUM($H$7:H47))</f>
        <v/>
      </c>
      <c r="K47" s="63" t="str">
        <f aca="false">IF($M47="","",INDEX(Bills!$N$8:$N$507,$M47))</f>
        <v/>
      </c>
      <c r="M47" s="9" t="str">
        <f aca="false">IFERROR(MATCH(SMALL(Bills!$S$8:$S$507,41),Bills!$S$8:$S$507,0),"")</f>
        <v/>
      </c>
    </row>
    <row r="48" customFormat="false" ht="15" hidden="false" customHeight="false" outlineLevel="0" collapsed="false">
      <c r="A48" s="40" t="str">
        <f aca="false">IF($M48="","",42)</f>
        <v/>
      </c>
      <c r="B48" s="62" t="str">
        <f aca="false">IF($M48="","",INT(INDEX(Bills!$S$8:$S$507,$M48)))</f>
        <v/>
      </c>
      <c r="C48" s="50" t="str">
        <f aca="false">IF($M48="","",INDEX(Bills!$D$8:$D$507,$M48))</f>
        <v/>
      </c>
      <c r="D48" s="63" t="str">
        <f aca="false">IF($M48="","",INDEX(Bills!$C$8:$C$507,$M48)&amp;"")</f>
        <v/>
      </c>
      <c r="E48" s="54" t="str">
        <f aca="false">IF($M48="","",INDEX(Bills!$B$8:$B$507,$M48))</f>
        <v/>
      </c>
      <c r="F48" s="54" t="str">
        <f aca="false">IF($M48="","",INDEX(Bills!$H$8:$H$507,$M48))</f>
        <v/>
      </c>
      <c r="G48" s="54" t="str">
        <f aca="false">IF($M48="","",INDEX(Bills!$M$8:$M$507,$M48))</f>
        <v/>
      </c>
      <c r="H48" s="47" t="str">
        <f aca="false">IF($M48="","",INDEX(Bills!$K$8:$K$507,$M48))</f>
        <v/>
      </c>
      <c r="I48" s="64" t="str">
        <f aca="false">IF($M48="","",B48-Setup!$C$11)</f>
        <v/>
      </c>
      <c r="J48" s="46" t="str">
        <f aca="false">IF($M48="","",SUM($H$7:H48))</f>
        <v/>
      </c>
      <c r="K48" s="63" t="str">
        <f aca="false">IF($M48="","",INDEX(Bills!$N$8:$N$507,$M48))</f>
        <v/>
      </c>
      <c r="M48" s="9" t="str">
        <f aca="false">IFERROR(MATCH(SMALL(Bills!$S$8:$S$507,42),Bills!$S$8:$S$507,0),"")</f>
        <v/>
      </c>
    </row>
    <row r="49" customFormat="false" ht="15" hidden="false" customHeight="false" outlineLevel="0" collapsed="false">
      <c r="A49" s="40" t="str">
        <f aca="false">IF($M49="","",43)</f>
        <v/>
      </c>
      <c r="B49" s="62" t="str">
        <f aca="false">IF($M49="","",INT(INDEX(Bills!$S$8:$S$507,$M49)))</f>
        <v/>
      </c>
      <c r="C49" s="50" t="str">
        <f aca="false">IF($M49="","",INDEX(Bills!$D$8:$D$507,$M49))</f>
        <v/>
      </c>
      <c r="D49" s="63" t="str">
        <f aca="false">IF($M49="","",INDEX(Bills!$C$8:$C$507,$M49)&amp;"")</f>
        <v/>
      </c>
      <c r="E49" s="54" t="str">
        <f aca="false">IF($M49="","",INDEX(Bills!$B$8:$B$507,$M49))</f>
        <v/>
      </c>
      <c r="F49" s="54" t="str">
        <f aca="false">IF($M49="","",INDEX(Bills!$H$8:$H$507,$M49))</f>
        <v/>
      </c>
      <c r="G49" s="54" t="str">
        <f aca="false">IF($M49="","",INDEX(Bills!$M$8:$M$507,$M49))</f>
        <v/>
      </c>
      <c r="H49" s="47" t="str">
        <f aca="false">IF($M49="","",INDEX(Bills!$K$8:$K$507,$M49))</f>
        <v/>
      </c>
      <c r="I49" s="64" t="str">
        <f aca="false">IF($M49="","",B49-Setup!$C$11)</f>
        <v/>
      </c>
      <c r="J49" s="46" t="str">
        <f aca="false">IF($M49="","",SUM($H$7:H49))</f>
        <v/>
      </c>
      <c r="K49" s="63" t="str">
        <f aca="false">IF($M49="","",INDEX(Bills!$N$8:$N$507,$M49))</f>
        <v/>
      </c>
      <c r="M49" s="9" t="str">
        <f aca="false">IFERROR(MATCH(SMALL(Bills!$S$8:$S$507,43),Bills!$S$8:$S$507,0),"")</f>
        <v/>
      </c>
    </row>
    <row r="50" customFormat="false" ht="15" hidden="false" customHeight="false" outlineLevel="0" collapsed="false">
      <c r="A50" s="40" t="str">
        <f aca="false">IF($M50="","",44)</f>
        <v/>
      </c>
      <c r="B50" s="62" t="str">
        <f aca="false">IF($M50="","",INT(INDEX(Bills!$S$8:$S$507,$M50)))</f>
        <v/>
      </c>
      <c r="C50" s="50" t="str">
        <f aca="false">IF($M50="","",INDEX(Bills!$D$8:$D$507,$M50))</f>
        <v/>
      </c>
      <c r="D50" s="63" t="str">
        <f aca="false">IF($M50="","",INDEX(Bills!$C$8:$C$507,$M50)&amp;"")</f>
        <v/>
      </c>
      <c r="E50" s="54" t="str">
        <f aca="false">IF($M50="","",INDEX(Bills!$B$8:$B$507,$M50))</f>
        <v/>
      </c>
      <c r="F50" s="54" t="str">
        <f aca="false">IF($M50="","",INDEX(Bills!$H$8:$H$507,$M50))</f>
        <v/>
      </c>
      <c r="G50" s="54" t="str">
        <f aca="false">IF($M50="","",INDEX(Bills!$M$8:$M$507,$M50))</f>
        <v/>
      </c>
      <c r="H50" s="47" t="str">
        <f aca="false">IF($M50="","",INDEX(Bills!$K$8:$K$507,$M50))</f>
        <v/>
      </c>
      <c r="I50" s="64" t="str">
        <f aca="false">IF($M50="","",B50-Setup!$C$11)</f>
        <v/>
      </c>
      <c r="J50" s="46" t="str">
        <f aca="false">IF($M50="","",SUM($H$7:H50))</f>
        <v/>
      </c>
      <c r="K50" s="63" t="str">
        <f aca="false">IF($M50="","",INDEX(Bills!$N$8:$N$507,$M50))</f>
        <v/>
      </c>
      <c r="M50" s="9" t="str">
        <f aca="false">IFERROR(MATCH(SMALL(Bills!$S$8:$S$507,44),Bills!$S$8:$S$507,0),"")</f>
        <v/>
      </c>
    </row>
    <row r="51" customFormat="false" ht="15" hidden="false" customHeight="false" outlineLevel="0" collapsed="false">
      <c r="A51" s="40" t="str">
        <f aca="false">IF($M51="","",45)</f>
        <v/>
      </c>
      <c r="B51" s="62" t="str">
        <f aca="false">IF($M51="","",INT(INDEX(Bills!$S$8:$S$507,$M51)))</f>
        <v/>
      </c>
      <c r="C51" s="50" t="str">
        <f aca="false">IF($M51="","",INDEX(Bills!$D$8:$D$507,$M51))</f>
        <v/>
      </c>
      <c r="D51" s="63" t="str">
        <f aca="false">IF($M51="","",INDEX(Bills!$C$8:$C$507,$M51)&amp;"")</f>
        <v/>
      </c>
      <c r="E51" s="54" t="str">
        <f aca="false">IF($M51="","",INDEX(Bills!$B$8:$B$507,$M51))</f>
        <v/>
      </c>
      <c r="F51" s="54" t="str">
        <f aca="false">IF($M51="","",INDEX(Bills!$H$8:$H$507,$M51))</f>
        <v/>
      </c>
      <c r="G51" s="54" t="str">
        <f aca="false">IF($M51="","",INDEX(Bills!$M$8:$M$507,$M51))</f>
        <v/>
      </c>
      <c r="H51" s="47" t="str">
        <f aca="false">IF($M51="","",INDEX(Bills!$K$8:$K$507,$M51))</f>
        <v/>
      </c>
      <c r="I51" s="64" t="str">
        <f aca="false">IF($M51="","",B51-Setup!$C$11)</f>
        <v/>
      </c>
      <c r="J51" s="46" t="str">
        <f aca="false">IF($M51="","",SUM($H$7:H51))</f>
        <v/>
      </c>
      <c r="K51" s="63" t="str">
        <f aca="false">IF($M51="","",INDEX(Bills!$N$8:$N$507,$M51))</f>
        <v/>
      </c>
      <c r="M51" s="9" t="str">
        <f aca="false">IFERROR(MATCH(SMALL(Bills!$S$8:$S$507,45),Bills!$S$8:$S$507,0),"")</f>
        <v/>
      </c>
    </row>
    <row r="52" customFormat="false" ht="15" hidden="false" customHeight="false" outlineLevel="0" collapsed="false">
      <c r="A52" s="40" t="str">
        <f aca="false">IF($M52="","",46)</f>
        <v/>
      </c>
      <c r="B52" s="62" t="str">
        <f aca="false">IF($M52="","",INT(INDEX(Bills!$S$8:$S$507,$M52)))</f>
        <v/>
      </c>
      <c r="C52" s="50" t="str">
        <f aca="false">IF($M52="","",INDEX(Bills!$D$8:$D$507,$M52))</f>
        <v/>
      </c>
      <c r="D52" s="63" t="str">
        <f aca="false">IF($M52="","",INDEX(Bills!$C$8:$C$507,$M52)&amp;"")</f>
        <v/>
      </c>
      <c r="E52" s="54" t="str">
        <f aca="false">IF($M52="","",INDEX(Bills!$B$8:$B$507,$M52))</f>
        <v/>
      </c>
      <c r="F52" s="54" t="str">
        <f aca="false">IF($M52="","",INDEX(Bills!$H$8:$H$507,$M52))</f>
        <v/>
      </c>
      <c r="G52" s="54" t="str">
        <f aca="false">IF($M52="","",INDEX(Bills!$M$8:$M$507,$M52))</f>
        <v/>
      </c>
      <c r="H52" s="47" t="str">
        <f aca="false">IF($M52="","",INDEX(Bills!$K$8:$K$507,$M52))</f>
        <v/>
      </c>
      <c r="I52" s="64" t="str">
        <f aca="false">IF($M52="","",B52-Setup!$C$11)</f>
        <v/>
      </c>
      <c r="J52" s="46" t="str">
        <f aca="false">IF($M52="","",SUM($H$7:H52))</f>
        <v/>
      </c>
      <c r="K52" s="63" t="str">
        <f aca="false">IF($M52="","",INDEX(Bills!$N$8:$N$507,$M52))</f>
        <v/>
      </c>
      <c r="M52" s="9" t="str">
        <f aca="false">IFERROR(MATCH(SMALL(Bills!$S$8:$S$507,46),Bills!$S$8:$S$507,0),"")</f>
        <v/>
      </c>
    </row>
    <row r="53" customFormat="false" ht="15" hidden="false" customHeight="false" outlineLevel="0" collapsed="false">
      <c r="A53" s="40" t="str">
        <f aca="false">IF($M53="","",47)</f>
        <v/>
      </c>
      <c r="B53" s="62" t="str">
        <f aca="false">IF($M53="","",INT(INDEX(Bills!$S$8:$S$507,$M53)))</f>
        <v/>
      </c>
      <c r="C53" s="50" t="str">
        <f aca="false">IF($M53="","",INDEX(Bills!$D$8:$D$507,$M53))</f>
        <v/>
      </c>
      <c r="D53" s="63" t="str">
        <f aca="false">IF($M53="","",INDEX(Bills!$C$8:$C$507,$M53)&amp;"")</f>
        <v/>
      </c>
      <c r="E53" s="54" t="str">
        <f aca="false">IF($M53="","",INDEX(Bills!$B$8:$B$507,$M53))</f>
        <v/>
      </c>
      <c r="F53" s="54" t="str">
        <f aca="false">IF($M53="","",INDEX(Bills!$H$8:$H$507,$M53))</f>
        <v/>
      </c>
      <c r="G53" s="54" t="str">
        <f aca="false">IF($M53="","",INDEX(Bills!$M$8:$M$507,$M53))</f>
        <v/>
      </c>
      <c r="H53" s="47" t="str">
        <f aca="false">IF($M53="","",INDEX(Bills!$K$8:$K$507,$M53))</f>
        <v/>
      </c>
      <c r="I53" s="64" t="str">
        <f aca="false">IF($M53="","",B53-Setup!$C$11)</f>
        <v/>
      </c>
      <c r="J53" s="46" t="str">
        <f aca="false">IF($M53="","",SUM($H$7:H53))</f>
        <v/>
      </c>
      <c r="K53" s="63" t="str">
        <f aca="false">IF($M53="","",INDEX(Bills!$N$8:$N$507,$M53))</f>
        <v/>
      </c>
      <c r="M53" s="9" t="str">
        <f aca="false">IFERROR(MATCH(SMALL(Bills!$S$8:$S$507,47),Bills!$S$8:$S$507,0),"")</f>
        <v/>
      </c>
    </row>
    <row r="54" customFormat="false" ht="15" hidden="false" customHeight="false" outlineLevel="0" collapsed="false">
      <c r="A54" s="40" t="str">
        <f aca="false">IF($M54="","",48)</f>
        <v/>
      </c>
      <c r="B54" s="62" t="str">
        <f aca="false">IF($M54="","",INT(INDEX(Bills!$S$8:$S$507,$M54)))</f>
        <v/>
      </c>
      <c r="C54" s="50" t="str">
        <f aca="false">IF($M54="","",INDEX(Bills!$D$8:$D$507,$M54))</f>
        <v/>
      </c>
      <c r="D54" s="63" t="str">
        <f aca="false">IF($M54="","",INDEX(Bills!$C$8:$C$507,$M54)&amp;"")</f>
        <v/>
      </c>
      <c r="E54" s="54" t="str">
        <f aca="false">IF($M54="","",INDEX(Bills!$B$8:$B$507,$M54))</f>
        <v/>
      </c>
      <c r="F54" s="54" t="str">
        <f aca="false">IF($M54="","",INDEX(Bills!$H$8:$H$507,$M54))</f>
        <v/>
      </c>
      <c r="G54" s="54" t="str">
        <f aca="false">IF($M54="","",INDEX(Bills!$M$8:$M$507,$M54))</f>
        <v/>
      </c>
      <c r="H54" s="47" t="str">
        <f aca="false">IF($M54="","",INDEX(Bills!$K$8:$K$507,$M54))</f>
        <v/>
      </c>
      <c r="I54" s="64" t="str">
        <f aca="false">IF($M54="","",B54-Setup!$C$11)</f>
        <v/>
      </c>
      <c r="J54" s="46" t="str">
        <f aca="false">IF($M54="","",SUM($H$7:H54))</f>
        <v/>
      </c>
      <c r="K54" s="63" t="str">
        <f aca="false">IF($M54="","",INDEX(Bills!$N$8:$N$507,$M54))</f>
        <v/>
      </c>
      <c r="M54" s="9" t="str">
        <f aca="false">IFERROR(MATCH(SMALL(Bills!$S$8:$S$507,48),Bills!$S$8:$S$507,0),"")</f>
        <v/>
      </c>
    </row>
    <row r="55" customFormat="false" ht="15" hidden="false" customHeight="false" outlineLevel="0" collapsed="false">
      <c r="A55" s="40" t="str">
        <f aca="false">IF($M55="","",49)</f>
        <v/>
      </c>
      <c r="B55" s="62" t="str">
        <f aca="false">IF($M55="","",INT(INDEX(Bills!$S$8:$S$507,$M55)))</f>
        <v/>
      </c>
      <c r="C55" s="50" t="str">
        <f aca="false">IF($M55="","",INDEX(Bills!$D$8:$D$507,$M55))</f>
        <v/>
      </c>
      <c r="D55" s="63" t="str">
        <f aca="false">IF($M55="","",INDEX(Bills!$C$8:$C$507,$M55)&amp;"")</f>
        <v/>
      </c>
      <c r="E55" s="54" t="str">
        <f aca="false">IF($M55="","",INDEX(Bills!$B$8:$B$507,$M55))</f>
        <v/>
      </c>
      <c r="F55" s="54" t="str">
        <f aca="false">IF($M55="","",INDEX(Bills!$H$8:$H$507,$M55))</f>
        <v/>
      </c>
      <c r="G55" s="54" t="str">
        <f aca="false">IF($M55="","",INDEX(Bills!$M$8:$M$507,$M55))</f>
        <v/>
      </c>
      <c r="H55" s="47" t="str">
        <f aca="false">IF($M55="","",INDEX(Bills!$K$8:$K$507,$M55))</f>
        <v/>
      </c>
      <c r="I55" s="64" t="str">
        <f aca="false">IF($M55="","",B55-Setup!$C$11)</f>
        <v/>
      </c>
      <c r="J55" s="46" t="str">
        <f aca="false">IF($M55="","",SUM($H$7:H55))</f>
        <v/>
      </c>
      <c r="K55" s="63" t="str">
        <f aca="false">IF($M55="","",INDEX(Bills!$N$8:$N$507,$M55))</f>
        <v/>
      </c>
      <c r="M55" s="9" t="str">
        <f aca="false">IFERROR(MATCH(SMALL(Bills!$S$8:$S$507,49),Bills!$S$8:$S$507,0),"")</f>
        <v/>
      </c>
    </row>
    <row r="56" customFormat="false" ht="15" hidden="false" customHeight="false" outlineLevel="0" collapsed="false">
      <c r="A56" s="40" t="str">
        <f aca="false">IF($M56="","",50)</f>
        <v/>
      </c>
      <c r="B56" s="62" t="str">
        <f aca="false">IF($M56="","",INT(INDEX(Bills!$S$8:$S$507,$M56)))</f>
        <v/>
      </c>
      <c r="C56" s="50" t="str">
        <f aca="false">IF($M56="","",INDEX(Bills!$D$8:$D$507,$M56))</f>
        <v/>
      </c>
      <c r="D56" s="63" t="str">
        <f aca="false">IF($M56="","",INDEX(Bills!$C$8:$C$507,$M56)&amp;"")</f>
        <v/>
      </c>
      <c r="E56" s="54" t="str">
        <f aca="false">IF($M56="","",INDEX(Bills!$B$8:$B$507,$M56))</f>
        <v/>
      </c>
      <c r="F56" s="54" t="str">
        <f aca="false">IF($M56="","",INDEX(Bills!$H$8:$H$507,$M56))</f>
        <v/>
      </c>
      <c r="G56" s="54" t="str">
        <f aca="false">IF($M56="","",INDEX(Bills!$M$8:$M$507,$M56))</f>
        <v/>
      </c>
      <c r="H56" s="47" t="str">
        <f aca="false">IF($M56="","",INDEX(Bills!$K$8:$K$507,$M56))</f>
        <v/>
      </c>
      <c r="I56" s="64" t="str">
        <f aca="false">IF($M56="","",B56-Setup!$C$11)</f>
        <v/>
      </c>
      <c r="J56" s="46" t="str">
        <f aca="false">IF($M56="","",SUM($H$7:H56))</f>
        <v/>
      </c>
      <c r="K56" s="63" t="str">
        <f aca="false">IF($M56="","",INDEX(Bills!$N$8:$N$507,$M56))</f>
        <v/>
      </c>
      <c r="M56" s="9" t="str">
        <f aca="false">IFERROR(MATCH(SMALL(Bills!$S$8:$S$507,50),Bills!$S$8:$S$507,0),"")</f>
        <v/>
      </c>
    </row>
    <row r="57" customFormat="false" ht="15" hidden="false" customHeight="false" outlineLevel="0" collapsed="false">
      <c r="A57" s="40" t="str">
        <f aca="false">IF($M57="","",51)</f>
        <v/>
      </c>
      <c r="B57" s="62" t="str">
        <f aca="false">IF($M57="","",INT(INDEX(Bills!$S$8:$S$507,$M57)))</f>
        <v/>
      </c>
      <c r="C57" s="50" t="str">
        <f aca="false">IF($M57="","",INDEX(Bills!$D$8:$D$507,$M57))</f>
        <v/>
      </c>
      <c r="D57" s="63" t="str">
        <f aca="false">IF($M57="","",INDEX(Bills!$C$8:$C$507,$M57)&amp;"")</f>
        <v/>
      </c>
      <c r="E57" s="54" t="str">
        <f aca="false">IF($M57="","",INDEX(Bills!$B$8:$B$507,$M57))</f>
        <v/>
      </c>
      <c r="F57" s="54" t="str">
        <f aca="false">IF($M57="","",INDEX(Bills!$H$8:$H$507,$M57))</f>
        <v/>
      </c>
      <c r="G57" s="54" t="str">
        <f aca="false">IF($M57="","",INDEX(Bills!$M$8:$M$507,$M57))</f>
        <v/>
      </c>
      <c r="H57" s="47" t="str">
        <f aca="false">IF($M57="","",INDEX(Bills!$K$8:$K$507,$M57))</f>
        <v/>
      </c>
      <c r="I57" s="64" t="str">
        <f aca="false">IF($M57="","",B57-Setup!$C$11)</f>
        <v/>
      </c>
      <c r="J57" s="46" t="str">
        <f aca="false">IF($M57="","",SUM($H$7:H57))</f>
        <v/>
      </c>
      <c r="K57" s="63" t="str">
        <f aca="false">IF($M57="","",INDEX(Bills!$N$8:$N$507,$M57))</f>
        <v/>
      </c>
      <c r="M57" s="9" t="str">
        <f aca="false">IFERROR(MATCH(SMALL(Bills!$S$8:$S$507,51),Bills!$S$8:$S$507,0),"")</f>
        <v/>
      </c>
    </row>
    <row r="58" customFormat="false" ht="15" hidden="false" customHeight="false" outlineLevel="0" collapsed="false">
      <c r="A58" s="40" t="str">
        <f aca="false">IF($M58="","",52)</f>
        <v/>
      </c>
      <c r="B58" s="62" t="str">
        <f aca="false">IF($M58="","",INT(INDEX(Bills!$S$8:$S$507,$M58)))</f>
        <v/>
      </c>
      <c r="C58" s="50" t="str">
        <f aca="false">IF($M58="","",INDEX(Bills!$D$8:$D$507,$M58))</f>
        <v/>
      </c>
      <c r="D58" s="63" t="str">
        <f aca="false">IF($M58="","",INDEX(Bills!$C$8:$C$507,$M58)&amp;"")</f>
        <v/>
      </c>
      <c r="E58" s="54" t="str">
        <f aca="false">IF($M58="","",INDEX(Bills!$B$8:$B$507,$M58))</f>
        <v/>
      </c>
      <c r="F58" s="54" t="str">
        <f aca="false">IF($M58="","",INDEX(Bills!$H$8:$H$507,$M58))</f>
        <v/>
      </c>
      <c r="G58" s="54" t="str">
        <f aca="false">IF($M58="","",INDEX(Bills!$M$8:$M$507,$M58))</f>
        <v/>
      </c>
      <c r="H58" s="47" t="str">
        <f aca="false">IF($M58="","",INDEX(Bills!$K$8:$K$507,$M58))</f>
        <v/>
      </c>
      <c r="I58" s="64" t="str">
        <f aca="false">IF($M58="","",B58-Setup!$C$11)</f>
        <v/>
      </c>
      <c r="J58" s="46" t="str">
        <f aca="false">IF($M58="","",SUM($H$7:H58))</f>
        <v/>
      </c>
      <c r="K58" s="63" t="str">
        <f aca="false">IF($M58="","",INDEX(Bills!$N$8:$N$507,$M58))</f>
        <v/>
      </c>
      <c r="M58" s="9" t="str">
        <f aca="false">IFERROR(MATCH(SMALL(Bills!$S$8:$S$507,52),Bills!$S$8:$S$507,0),"")</f>
        <v/>
      </c>
    </row>
    <row r="59" customFormat="false" ht="15" hidden="false" customHeight="false" outlineLevel="0" collapsed="false">
      <c r="A59" s="40" t="str">
        <f aca="false">IF($M59="","",53)</f>
        <v/>
      </c>
      <c r="B59" s="62" t="str">
        <f aca="false">IF($M59="","",INT(INDEX(Bills!$S$8:$S$507,$M59)))</f>
        <v/>
      </c>
      <c r="C59" s="50" t="str">
        <f aca="false">IF($M59="","",INDEX(Bills!$D$8:$D$507,$M59))</f>
        <v/>
      </c>
      <c r="D59" s="63" t="str">
        <f aca="false">IF($M59="","",INDEX(Bills!$C$8:$C$507,$M59)&amp;"")</f>
        <v/>
      </c>
      <c r="E59" s="54" t="str">
        <f aca="false">IF($M59="","",INDEX(Bills!$B$8:$B$507,$M59))</f>
        <v/>
      </c>
      <c r="F59" s="54" t="str">
        <f aca="false">IF($M59="","",INDEX(Bills!$H$8:$H$507,$M59))</f>
        <v/>
      </c>
      <c r="G59" s="54" t="str">
        <f aca="false">IF($M59="","",INDEX(Bills!$M$8:$M$507,$M59))</f>
        <v/>
      </c>
      <c r="H59" s="47" t="str">
        <f aca="false">IF($M59="","",INDEX(Bills!$K$8:$K$507,$M59))</f>
        <v/>
      </c>
      <c r="I59" s="64" t="str">
        <f aca="false">IF($M59="","",B59-Setup!$C$11)</f>
        <v/>
      </c>
      <c r="J59" s="46" t="str">
        <f aca="false">IF($M59="","",SUM($H$7:H59))</f>
        <v/>
      </c>
      <c r="K59" s="63" t="str">
        <f aca="false">IF($M59="","",INDEX(Bills!$N$8:$N$507,$M59))</f>
        <v/>
      </c>
      <c r="M59" s="9" t="str">
        <f aca="false">IFERROR(MATCH(SMALL(Bills!$S$8:$S$507,53),Bills!$S$8:$S$507,0),"")</f>
        <v/>
      </c>
    </row>
    <row r="60" customFormat="false" ht="15" hidden="false" customHeight="false" outlineLevel="0" collapsed="false">
      <c r="A60" s="40" t="str">
        <f aca="false">IF($M60="","",54)</f>
        <v/>
      </c>
      <c r="B60" s="62" t="str">
        <f aca="false">IF($M60="","",INT(INDEX(Bills!$S$8:$S$507,$M60)))</f>
        <v/>
      </c>
      <c r="C60" s="50" t="str">
        <f aca="false">IF($M60="","",INDEX(Bills!$D$8:$D$507,$M60))</f>
        <v/>
      </c>
      <c r="D60" s="63" t="str">
        <f aca="false">IF($M60="","",INDEX(Bills!$C$8:$C$507,$M60)&amp;"")</f>
        <v/>
      </c>
      <c r="E60" s="54" t="str">
        <f aca="false">IF($M60="","",INDEX(Bills!$B$8:$B$507,$M60))</f>
        <v/>
      </c>
      <c r="F60" s="54" t="str">
        <f aca="false">IF($M60="","",INDEX(Bills!$H$8:$H$507,$M60))</f>
        <v/>
      </c>
      <c r="G60" s="54" t="str">
        <f aca="false">IF($M60="","",INDEX(Bills!$M$8:$M$507,$M60))</f>
        <v/>
      </c>
      <c r="H60" s="47" t="str">
        <f aca="false">IF($M60="","",INDEX(Bills!$K$8:$K$507,$M60))</f>
        <v/>
      </c>
      <c r="I60" s="64" t="str">
        <f aca="false">IF($M60="","",B60-Setup!$C$11)</f>
        <v/>
      </c>
      <c r="J60" s="46" t="str">
        <f aca="false">IF($M60="","",SUM($H$7:H60))</f>
        <v/>
      </c>
      <c r="K60" s="63" t="str">
        <f aca="false">IF($M60="","",INDEX(Bills!$N$8:$N$507,$M60))</f>
        <v/>
      </c>
      <c r="M60" s="9" t="str">
        <f aca="false">IFERROR(MATCH(SMALL(Bills!$S$8:$S$507,54),Bills!$S$8:$S$507,0),"")</f>
        <v/>
      </c>
    </row>
    <row r="61" customFormat="false" ht="15" hidden="false" customHeight="false" outlineLevel="0" collapsed="false">
      <c r="A61" s="40" t="str">
        <f aca="false">IF($M61="","",55)</f>
        <v/>
      </c>
      <c r="B61" s="62" t="str">
        <f aca="false">IF($M61="","",INT(INDEX(Bills!$S$8:$S$507,$M61)))</f>
        <v/>
      </c>
      <c r="C61" s="50" t="str">
        <f aca="false">IF($M61="","",INDEX(Bills!$D$8:$D$507,$M61))</f>
        <v/>
      </c>
      <c r="D61" s="63" t="str">
        <f aca="false">IF($M61="","",INDEX(Bills!$C$8:$C$507,$M61)&amp;"")</f>
        <v/>
      </c>
      <c r="E61" s="54" t="str">
        <f aca="false">IF($M61="","",INDEX(Bills!$B$8:$B$507,$M61))</f>
        <v/>
      </c>
      <c r="F61" s="54" t="str">
        <f aca="false">IF($M61="","",INDEX(Bills!$H$8:$H$507,$M61))</f>
        <v/>
      </c>
      <c r="G61" s="54" t="str">
        <f aca="false">IF($M61="","",INDEX(Bills!$M$8:$M$507,$M61))</f>
        <v/>
      </c>
      <c r="H61" s="47" t="str">
        <f aca="false">IF($M61="","",INDEX(Bills!$K$8:$K$507,$M61))</f>
        <v/>
      </c>
      <c r="I61" s="64" t="str">
        <f aca="false">IF($M61="","",B61-Setup!$C$11)</f>
        <v/>
      </c>
      <c r="J61" s="46" t="str">
        <f aca="false">IF($M61="","",SUM($H$7:H61))</f>
        <v/>
      </c>
      <c r="K61" s="63" t="str">
        <f aca="false">IF($M61="","",INDEX(Bills!$N$8:$N$507,$M61))</f>
        <v/>
      </c>
      <c r="M61" s="9" t="str">
        <f aca="false">IFERROR(MATCH(SMALL(Bills!$S$8:$S$507,55),Bills!$S$8:$S$507,0),"")</f>
        <v/>
      </c>
    </row>
    <row r="62" customFormat="false" ht="15" hidden="false" customHeight="false" outlineLevel="0" collapsed="false">
      <c r="A62" s="40" t="str">
        <f aca="false">IF($M62="","",56)</f>
        <v/>
      </c>
      <c r="B62" s="62" t="str">
        <f aca="false">IF($M62="","",INT(INDEX(Bills!$S$8:$S$507,$M62)))</f>
        <v/>
      </c>
      <c r="C62" s="50" t="str">
        <f aca="false">IF($M62="","",INDEX(Bills!$D$8:$D$507,$M62))</f>
        <v/>
      </c>
      <c r="D62" s="63" t="str">
        <f aca="false">IF($M62="","",INDEX(Bills!$C$8:$C$507,$M62)&amp;"")</f>
        <v/>
      </c>
      <c r="E62" s="54" t="str">
        <f aca="false">IF($M62="","",INDEX(Bills!$B$8:$B$507,$M62))</f>
        <v/>
      </c>
      <c r="F62" s="54" t="str">
        <f aca="false">IF($M62="","",INDEX(Bills!$H$8:$H$507,$M62))</f>
        <v/>
      </c>
      <c r="G62" s="54" t="str">
        <f aca="false">IF($M62="","",INDEX(Bills!$M$8:$M$507,$M62))</f>
        <v/>
      </c>
      <c r="H62" s="47" t="str">
        <f aca="false">IF($M62="","",INDEX(Bills!$K$8:$K$507,$M62))</f>
        <v/>
      </c>
      <c r="I62" s="64" t="str">
        <f aca="false">IF($M62="","",B62-Setup!$C$11)</f>
        <v/>
      </c>
      <c r="J62" s="46" t="str">
        <f aca="false">IF($M62="","",SUM($H$7:H62))</f>
        <v/>
      </c>
      <c r="K62" s="63" t="str">
        <f aca="false">IF($M62="","",INDEX(Bills!$N$8:$N$507,$M62))</f>
        <v/>
      </c>
      <c r="M62" s="9" t="str">
        <f aca="false">IFERROR(MATCH(SMALL(Bills!$S$8:$S$507,56),Bills!$S$8:$S$507,0),"")</f>
        <v/>
      </c>
    </row>
    <row r="63" customFormat="false" ht="15" hidden="false" customHeight="false" outlineLevel="0" collapsed="false">
      <c r="A63" s="40" t="str">
        <f aca="false">IF($M63="","",57)</f>
        <v/>
      </c>
      <c r="B63" s="62" t="str">
        <f aca="false">IF($M63="","",INT(INDEX(Bills!$S$8:$S$507,$M63)))</f>
        <v/>
      </c>
      <c r="C63" s="50" t="str">
        <f aca="false">IF($M63="","",INDEX(Bills!$D$8:$D$507,$M63))</f>
        <v/>
      </c>
      <c r="D63" s="63" t="str">
        <f aca="false">IF($M63="","",INDEX(Bills!$C$8:$C$507,$M63)&amp;"")</f>
        <v/>
      </c>
      <c r="E63" s="54" t="str">
        <f aca="false">IF($M63="","",INDEX(Bills!$B$8:$B$507,$M63))</f>
        <v/>
      </c>
      <c r="F63" s="54" t="str">
        <f aca="false">IF($M63="","",INDEX(Bills!$H$8:$H$507,$M63))</f>
        <v/>
      </c>
      <c r="G63" s="54" t="str">
        <f aca="false">IF($M63="","",INDEX(Bills!$M$8:$M$507,$M63))</f>
        <v/>
      </c>
      <c r="H63" s="47" t="str">
        <f aca="false">IF($M63="","",INDEX(Bills!$K$8:$K$507,$M63))</f>
        <v/>
      </c>
      <c r="I63" s="64" t="str">
        <f aca="false">IF($M63="","",B63-Setup!$C$11)</f>
        <v/>
      </c>
      <c r="J63" s="46" t="str">
        <f aca="false">IF($M63="","",SUM($H$7:H63))</f>
        <v/>
      </c>
      <c r="K63" s="63" t="str">
        <f aca="false">IF($M63="","",INDEX(Bills!$N$8:$N$507,$M63))</f>
        <v/>
      </c>
      <c r="M63" s="9" t="str">
        <f aca="false">IFERROR(MATCH(SMALL(Bills!$S$8:$S$507,57),Bills!$S$8:$S$507,0),"")</f>
        <v/>
      </c>
    </row>
    <row r="64" customFormat="false" ht="15" hidden="false" customHeight="false" outlineLevel="0" collapsed="false">
      <c r="A64" s="40" t="str">
        <f aca="false">IF($M64="","",58)</f>
        <v/>
      </c>
      <c r="B64" s="62" t="str">
        <f aca="false">IF($M64="","",INT(INDEX(Bills!$S$8:$S$507,$M64)))</f>
        <v/>
      </c>
      <c r="C64" s="50" t="str">
        <f aca="false">IF($M64="","",INDEX(Bills!$D$8:$D$507,$M64))</f>
        <v/>
      </c>
      <c r="D64" s="63" t="str">
        <f aca="false">IF($M64="","",INDEX(Bills!$C$8:$C$507,$M64)&amp;"")</f>
        <v/>
      </c>
      <c r="E64" s="54" t="str">
        <f aca="false">IF($M64="","",INDEX(Bills!$B$8:$B$507,$M64))</f>
        <v/>
      </c>
      <c r="F64" s="54" t="str">
        <f aca="false">IF($M64="","",INDEX(Bills!$H$8:$H$507,$M64))</f>
        <v/>
      </c>
      <c r="G64" s="54" t="str">
        <f aca="false">IF($M64="","",INDEX(Bills!$M$8:$M$507,$M64))</f>
        <v/>
      </c>
      <c r="H64" s="47" t="str">
        <f aca="false">IF($M64="","",INDEX(Bills!$K$8:$K$507,$M64))</f>
        <v/>
      </c>
      <c r="I64" s="64" t="str">
        <f aca="false">IF($M64="","",B64-Setup!$C$11)</f>
        <v/>
      </c>
      <c r="J64" s="46" t="str">
        <f aca="false">IF($M64="","",SUM($H$7:H64))</f>
        <v/>
      </c>
      <c r="K64" s="63" t="str">
        <f aca="false">IF($M64="","",INDEX(Bills!$N$8:$N$507,$M64))</f>
        <v/>
      </c>
      <c r="M64" s="9" t="str">
        <f aca="false">IFERROR(MATCH(SMALL(Bills!$S$8:$S$507,58),Bills!$S$8:$S$507,0),"")</f>
        <v/>
      </c>
    </row>
    <row r="65" customFormat="false" ht="15" hidden="false" customHeight="false" outlineLevel="0" collapsed="false">
      <c r="A65" s="40" t="str">
        <f aca="false">IF($M65="","",59)</f>
        <v/>
      </c>
      <c r="B65" s="62" t="str">
        <f aca="false">IF($M65="","",INT(INDEX(Bills!$S$8:$S$507,$M65)))</f>
        <v/>
      </c>
      <c r="C65" s="50" t="str">
        <f aca="false">IF($M65="","",INDEX(Bills!$D$8:$D$507,$M65))</f>
        <v/>
      </c>
      <c r="D65" s="63" t="str">
        <f aca="false">IF($M65="","",INDEX(Bills!$C$8:$C$507,$M65)&amp;"")</f>
        <v/>
      </c>
      <c r="E65" s="54" t="str">
        <f aca="false">IF($M65="","",INDEX(Bills!$B$8:$B$507,$M65))</f>
        <v/>
      </c>
      <c r="F65" s="54" t="str">
        <f aca="false">IF($M65="","",INDEX(Bills!$H$8:$H$507,$M65))</f>
        <v/>
      </c>
      <c r="G65" s="54" t="str">
        <f aca="false">IF($M65="","",INDEX(Bills!$M$8:$M$507,$M65))</f>
        <v/>
      </c>
      <c r="H65" s="47" t="str">
        <f aca="false">IF($M65="","",INDEX(Bills!$K$8:$K$507,$M65))</f>
        <v/>
      </c>
      <c r="I65" s="64" t="str">
        <f aca="false">IF($M65="","",B65-Setup!$C$11)</f>
        <v/>
      </c>
      <c r="J65" s="46" t="str">
        <f aca="false">IF($M65="","",SUM($H$7:H65))</f>
        <v/>
      </c>
      <c r="K65" s="63" t="str">
        <f aca="false">IF($M65="","",INDEX(Bills!$N$8:$N$507,$M65))</f>
        <v/>
      </c>
      <c r="M65" s="9" t="str">
        <f aca="false">IFERROR(MATCH(SMALL(Bills!$S$8:$S$507,59),Bills!$S$8:$S$507,0),"")</f>
        <v/>
      </c>
    </row>
    <row r="66" customFormat="false" ht="15" hidden="false" customHeight="false" outlineLevel="0" collapsed="false">
      <c r="A66" s="40" t="str">
        <f aca="false">IF($M66="","",60)</f>
        <v/>
      </c>
      <c r="B66" s="62" t="str">
        <f aca="false">IF($M66="","",INT(INDEX(Bills!$S$8:$S$507,$M66)))</f>
        <v/>
      </c>
      <c r="C66" s="50" t="str">
        <f aca="false">IF($M66="","",INDEX(Bills!$D$8:$D$507,$M66))</f>
        <v/>
      </c>
      <c r="D66" s="63" t="str">
        <f aca="false">IF($M66="","",INDEX(Bills!$C$8:$C$507,$M66)&amp;"")</f>
        <v/>
      </c>
      <c r="E66" s="54" t="str">
        <f aca="false">IF($M66="","",INDEX(Bills!$B$8:$B$507,$M66))</f>
        <v/>
      </c>
      <c r="F66" s="54" t="str">
        <f aca="false">IF($M66="","",INDEX(Bills!$H$8:$H$507,$M66))</f>
        <v/>
      </c>
      <c r="G66" s="54" t="str">
        <f aca="false">IF($M66="","",INDEX(Bills!$M$8:$M$507,$M66))</f>
        <v/>
      </c>
      <c r="H66" s="47" t="str">
        <f aca="false">IF($M66="","",INDEX(Bills!$K$8:$K$507,$M66))</f>
        <v/>
      </c>
      <c r="I66" s="64" t="str">
        <f aca="false">IF($M66="","",B66-Setup!$C$11)</f>
        <v/>
      </c>
      <c r="J66" s="46" t="str">
        <f aca="false">IF($M66="","",SUM($H$7:H66))</f>
        <v/>
      </c>
      <c r="K66" s="63" t="str">
        <f aca="false">IF($M66="","",INDEX(Bills!$N$8:$N$507,$M66))</f>
        <v/>
      </c>
      <c r="M66" s="9" t="str">
        <f aca="false">IFERROR(MATCH(SMALL(Bills!$S$8:$S$507,60),Bills!$S$8:$S$507,0),"")</f>
        <v/>
      </c>
    </row>
    <row r="67" customFormat="false" ht="15" hidden="false" customHeight="false" outlineLevel="0" collapsed="false">
      <c r="A67" s="40" t="str">
        <f aca="false">IF($M67="","",61)</f>
        <v/>
      </c>
      <c r="B67" s="62" t="str">
        <f aca="false">IF($M67="","",INT(INDEX(Bills!$S$8:$S$507,$M67)))</f>
        <v/>
      </c>
      <c r="C67" s="50" t="str">
        <f aca="false">IF($M67="","",INDEX(Bills!$D$8:$D$507,$M67))</f>
        <v/>
      </c>
      <c r="D67" s="63" t="str">
        <f aca="false">IF($M67="","",INDEX(Bills!$C$8:$C$507,$M67)&amp;"")</f>
        <v/>
      </c>
      <c r="E67" s="54" t="str">
        <f aca="false">IF($M67="","",INDEX(Bills!$B$8:$B$507,$M67))</f>
        <v/>
      </c>
      <c r="F67" s="54" t="str">
        <f aca="false">IF($M67="","",INDEX(Bills!$H$8:$H$507,$M67))</f>
        <v/>
      </c>
      <c r="G67" s="54" t="str">
        <f aca="false">IF($M67="","",INDEX(Bills!$M$8:$M$507,$M67))</f>
        <v/>
      </c>
      <c r="H67" s="47" t="str">
        <f aca="false">IF($M67="","",INDEX(Bills!$K$8:$K$507,$M67))</f>
        <v/>
      </c>
      <c r="I67" s="64" t="str">
        <f aca="false">IF($M67="","",B67-Setup!$C$11)</f>
        <v/>
      </c>
      <c r="J67" s="46" t="str">
        <f aca="false">IF($M67="","",SUM($H$7:H67))</f>
        <v/>
      </c>
      <c r="K67" s="63" t="str">
        <f aca="false">IF($M67="","",INDEX(Bills!$N$8:$N$507,$M67))</f>
        <v/>
      </c>
      <c r="M67" s="9" t="str">
        <f aca="false">IFERROR(MATCH(SMALL(Bills!$S$8:$S$507,61),Bills!$S$8:$S$507,0),"")</f>
        <v/>
      </c>
    </row>
    <row r="68" customFormat="false" ht="15" hidden="false" customHeight="false" outlineLevel="0" collapsed="false">
      <c r="A68" s="40" t="str">
        <f aca="false">IF($M68="","",62)</f>
        <v/>
      </c>
      <c r="B68" s="62" t="str">
        <f aca="false">IF($M68="","",INT(INDEX(Bills!$S$8:$S$507,$M68)))</f>
        <v/>
      </c>
      <c r="C68" s="50" t="str">
        <f aca="false">IF($M68="","",INDEX(Bills!$D$8:$D$507,$M68))</f>
        <v/>
      </c>
      <c r="D68" s="63" t="str">
        <f aca="false">IF($M68="","",INDEX(Bills!$C$8:$C$507,$M68)&amp;"")</f>
        <v/>
      </c>
      <c r="E68" s="54" t="str">
        <f aca="false">IF($M68="","",INDEX(Bills!$B$8:$B$507,$M68))</f>
        <v/>
      </c>
      <c r="F68" s="54" t="str">
        <f aca="false">IF($M68="","",INDEX(Bills!$H$8:$H$507,$M68))</f>
        <v/>
      </c>
      <c r="G68" s="54" t="str">
        <f aca="false">IF($M68="","",INDEX(Bills!$M$8:$M$507,$M68))</f>
        <v/>
      </c>
      <c r="H68" s="47" t="str">
        <f aca="false">IF($M68="","",INDEX(Bills!$K$8:$K$507,$M68))</f>
        <v/>
      </c>
      <c r="I68" s="64" t="str">
        <f aca="false">IF($M68="","",B68-Setup!$C$11)</f>
        <v/>
      </c>
      <c r="J68" s="46" t="str">
        <f aca="false">IF($M68="","",SUM($H$7:H68))</f>
        <v/>
      </c>
      <c r="K68" s="63" t="str">
        <f aca="false">IF($M68="","",INDEX(Bills!$N$8:$N$507,$M68))</f>
        <v/>
      </c>
      <c r="M68" s="9" t="str">
        <f aca="false">IFERROR(MATCH(SMALL(Bills!$S$8:$S$507,62),Bills!$S$8:$S$507,0),"")</f>
        <v/>
      </c>
    </row>
    <row r="69" customFormat="false" ht="15" hidden="false" customHeight="false" outlineLevel="0" collapsed="false">
      <c r="A69" s="40" t="str">
        <f aca="false">IF($M69="","",63)</f>
        <v/>
      </c>
      <c r="B69" s="62" t="str">
        <f aca="false">IF($M69="","",INT(INDEX(Bills!$S$8:$S$507,$M69)))</f>
        <v/>
      </c>
      <c r="C69" s="50" t="str">
        <f aca="false">IF($M69="","",INDEX(Bills!$D$8:$D$507,$M69))</f>
        <v/>
      </c>
      <c r="D69" s="63" t="str">
        <f aca="false">IF($M69="","",INDEX(Bills!$C$8:$C$507,$M69)&amp;"")</f>
        <v/>
      </c>
      <c r="E69" s="54" t="str">
        <f aca="false">IF($M69="","",INDEX(Bills!$B$8:$B$507,$M69))</f>
        <v/>
      </c>
      <c r="F69" s="54" t="str">
        <f aca="false">IF($M69="","",INDEX(Bills!$H$8:$H$507,$M69))</f>
        <v/>
      </c>
      <c r="G69" s="54" t="str">
        <f aca="false">IF($M69="","",INDEX(Bills!$M$8:$M$507,$M69))</f>
        <v/>
      </c>
      <c r="H69" s="47" t="str">
        <f aca="false">IF($M69="","",INDEX(Bills!$K$8:$K$507,$M69))</f>
        <v/>
      </c>
      <c r="I69" s="64" t="str">
        <f aca="false">IF($M69="","",B69-Setup!$C$11)</f>
        <v/>
      </c>
      <c r="J69" s="46" t="str">
        <f aca="false">IF($M69="","",SUM($H$7:H69))</f>
        <v/>
      </c>
      <c r="K69" s="63" t="str">
        <f aca="false">IF($M69="","",INDEX(Bills!$N$8:$N$507,$M69))</f>
        <v/>
      </c>
      <c r="M69" s="9" t="str">
        <f aca="false">IFERROR(MATCH(SMALL(Bills!$S$8:$S$507,63),Bills!$S$8:$S$507,0),"")</f>
        <v/>
      </c>
    </row>
    <row r="70" customFormat="false" ht="15" hidden="false" customHeight="false" outlineLevel="0" collapsed="false">
      <c r="A70" s="40" t="str">
        <f aca="false">IF($M70="","",64)</f>
        <v/>
      </c>
      <c r="B70" s="62" t="str">
        <f aca="false">IF($M70="","",INT(INDEX(Bills!$S$8:$S$507,$M70)))</f>
        <v/>
      </c>
      <c r="C70" s="50" t="str">
        <f aca="false">IF($M70="","",INDEX(Bills!$D$8:$D$507,$M70))</f>
        <v/>
      </c>
      <c r="D70" s="63" t="str">
        <f aca="false">IF($M70="","",INDEX(Bills!$C$8:$C$507,$M70)&amp;"")</f>
        <v/>
      </c>
      <c r="E70" s="54" t="str">
        <f aca="false">IF($M70="","",INDEX(Bills!$B$8:$B$507,$M70))</f>
        <v/>
      </c>
      <c r="F70" s="54" t="str">
        <f aca="false">IF($M70="","",INDEX(Bills!$H$8:$H$507,$M70))</f>
        <v/>
      </c>
      <c r="G70" s="54" t="str">
        <f aca="false">IF($M70="","",INDEX(Bills!$M$8:$M$507,$M70))</f>
        <v/>
      </c>
      <c r="H70" s="47" t="str">
        <f aca="false">IF($M70="","",INDEX(Bills!$K$8:$K$507,$M70))</f>
        <v/>
      </c>
      <c r="I70" s="64" t="str">
        <f aca="false">IF($M70="","",B70-Setup!$C$11)</f>
        <v/>
      </c>
      <c r="J70" s="46" t="str">
        <f aca="false">IF($M70="","",SUM($H$7:H70))</f>
        <v/>
      </c>
      <c r="K70" s="63" t="str">
        <f aca="false">IF($M70="","",INDEX(Bills!$N$8:$N$507,$M70))</f>
        <v/>
      </c>
      <c r="M70" s="9" t="str">
        <f aca="false">IFERROR(MATCH(SMALL(Bills!$S$8:$S$507,64),Bills!$S$8:$S$507,0),"")</f>
        <v/>
      </c>
    </row>
    <row r="71" customFormat="false" ht="15" hidden="false" customHeight="false" outlineLevel="0" collapsed="false">
      <c r="A71" s="40" t="str">
        <f aca="false">IF($M71="","",65)</f>
        <v/>
      </c>
      <c r="B71" s="62" t="str">
        <f aca="false">IF($M71="","",INT(INDEX(Bills!$S$8:$S$507,$M71)))</f>
        <v/>
      </c>
      <c r="C71" s="50" t="str">
        <f aca="false">IF($M71="","",INDEX(Bills!$D$8:$D$507,$M71))</f>
        <v/>
      </c>
      <c r="D71" s="63" t="str">
        <f aca="false">IF($M71="","",INDEX(Bills!$C$8:$C$507,$M71)&amp;"")</f>
        <v/>
      </c>
      <c r="E71" s="54" t="str">
        <f aca="false">IF($M71="","",INDEX(Bills!$B$8:$B$507,$M71))</f>
        <v/>
      </c>
      <c r="F71" s="54" t="str">
        <f aca="false">IF($M71="","",INDEX(Bills!$H$8:$H$507,$M71))</f>
        <v/>
      </c>
      <c r="G71" s="54" t="str">
        <f aca="false">IF($M71="","",INDEX(Bills!$M$8:$M$507,$M71))</f>
        <v/>
      </c>
      <c r="H71" s="47" t="str">
        <f aca="false">IF($M71="","",INDEX(Bills!$K$8:$K$507,$M71))</f>
        <v/>
      </c>
      <c r="I71" s="64" t="str">
        <f aca="false">IF($M71="","",B71-Setup!$C$11)</f>
        <v/>
      </c>
      <c r="J71" s="46" t="str">
        <f aca="false">IF($M71="","",SUM($H$7:H71))</f>
        <v/>
      </c>
      <c r="K71" s="63" t="str">
        <f aca="false">IF($M71="","",INDEX(Bills!$N$8:$N$507,$M71))</f>
        <v/>
      </c>
      <c r="M71" s="9" t="str">
        <f aca="false">IFERROR(MATCH(SMALL(Bills!$S$8:$S$507,65),Bills!$S$8:$S$507,0),"")</f>
        <v/>
      </c>
    </row>
    <row r="72" customFormat="false" ht="15" hidden="false" customHeight="false" outlineLevel="0" collapsed="false">
      <c r="A72" s="40" t="str">
        <f aca="false">IF($M72="","",66)</f>
        <v/>
      </c>
      <c r="B72" s="62" t="str">
        <f aca="false">IF($M72="","",INT(INDEX(Bills!$S$8:$S$507,$M72)))</f>
        <v/>
      </c>
      <c r="C72" s="50" t="str">
        <f aca="false">IF($M72="","",INDEX(Bills!$D$8:$D$507,$M72))</f>
        <v/>
      </c>
      <c r="D72" s="63" t="str">
        <f aca="false">IF($M72="","",INDEX(Bills!$C$8:$C$507,$M72)&amp;"")</f>
        <v/>
      </c>
      <c r="E72" s="54" t="str">
        <f aca="false">IF($M72="","",INDEX(Bills!$B$8:$B$507,$M72))</f>
        <v/>
      </c>
      <c r="F72" s="54" t="str">
        <f aca="false">IF($M72="","",INDEX(Bills!$H$8:$H$507,$M72))</f>
        <v/>
      </c>
      <c r="G72" s="54" t="str">
        <f aca="false">IF($M72="","",INDEX(Bills!$M$8:$M$507,$M72))</f>
        <v/>
      </c>
      <c r="H72" s="47" t="str">
        <f aca="false">IF($M72="","",INDEX(Bills!$K$8:$K$507,$M72))</f>
        <v/>
      </c>
      <c r="I72" s="64" t="str">
        <f aca="false">IF($M72="","",B72-Setup!$C$11)</f>
        <v/>
      </c>
      <c r="J72" s="46" t="str">
        <f aca="false">IF($M72="","",SUM($H$7:H72))</f>
        <v/>
      </c>
      <c r="K72" s="63" t="str">
        <f aca="false">IF($M72="","",INDEX(Bills!$N$8:$N$507,$M72))</f>
        <v/>
      </c>
      <c r="M72" s="9" t="str">
        <f aca="false">IFERROR(MATCH(SMALL(Bills!$S$8:$S$507,66),Bills!$S$8:$S$507,0),"")</f>
        <v/>
      </c>
    </row>
    <row r="73" customFormat="false" ht="15" hidden="false" customHeight="false" outlineLevel="0" collapsed="false">
      <c r="A73" s="40" t="str">
        <f aca="false">IF($M73="","",67)</f>
        <v/>
      </c>
      <c r="B73" s="62" t="str">
        <f aca="false">IF($M73="","",INT(INDEX(Bills!$S$8:$S$507,$M73)))</f>
        <v/>
      </c>
      <c r="C73" s="50" t="str">
        <f aca="false">IF($M73="","",INDEX(Bills!$D$8:$D$507,$M73))</f>
        <v/>
      </c>
      <c r="D73" s="63" t="str">
        <f aca="false">IF($M73="","",INDEX(Bills!$C$8:$C$507,$M73)&amp;"")</f>
        <v/>
      </c>
      <c r="E73" s="54" t="str">
        <f aca="false">IF($M73="","",INDEX(Bills!$B$8:$B$507,$M73))</f>
        <v/>
      </c>
      <c r="F73" s="54" t="str">
        <f aca="false">IF($M73="","",INDEX(Bills!$H$8:$H$507,$M73))</f>
        <v/>
      </c>
      <c r="G73" s="54" t="str">
        <f aca="false">IF($M73="","",INDEX(Bills!$M$8:$M$507,$M73))</f>
        <v/>
      </c>
      <c r="H73" s="47" t="str">
        <f aca="false">IF($M73="","",INDEX(Bills!$K$8:$K$507,$M73))</f>
        <v/>
      </c>
      <c r="I73" s="64" t="str">
        <f aca="false">IF($M73="","",B73-Setup!$C$11)</f>
        <v/>
      </c>
      <c r="J73" s="46" t="str">
        <f aca="false">IF($M73="","",SUM($H$7:H73))</f>
        <v/>
      </c>
      <c r="K73" s="63" t="str">
        <f aca="false">IF($M73="","",INDEX(Bills!$N$8:$N$507,$M73))</f>
        <v/>
      </c>
      <c r="M73" s="9" t="str">
        <f aca="false">IFERROR(MATCH(SMALL(Bills!$S$8:$S$507,67),Bills!$S$8:$S$507,0),"")</f>
        <v/>
      </c>
    </row>
    <row r="74" customFormat="false" ht="15" hidden="false" customHeight="false" outlineLevel="0" collapsed="false">
      <c r="A74" s="40" t="str">
        <f aca="false">IF($M74="","",68)</f>
        <v/>
      </c>
      <c r="B74" s="62" t="str">
        <f aca="false">IF($M74="","",INT(INDEX(Bills!$S$8:$S$507,$M74)))</f>
        <v/>
      </c>
      <c r="C74" s="50" t="str">
        <f aca="false">IF($M74="","",INDEX(Bills!$D$8:$D$507,$M74))</f>
        <v/>
      </c>
      <c r="D74" s="63" t="str">
        <f aca="false">IF($M74="","",INDEX(Bills!$C$8:$C$507,$M74)&amp;"")</f>
        <v/>
      </c>
      <c r="E74" s="54" t="str">
        <f aca="false">IF($M74="","",INDEX(Bills!$B$8:$B$507,$M74))</f>
        <v/>
      </c>
      <c r="F74" s="54" t="str">
        <f aca="false">IF($M74="","",INDEX(Bills!$H$8:$H$507,$M74))</f>
        <v/>
      </c>
      <c r="G74" s="54" t="str">
        <f aca="false">IF($M74="","",INDEX(Bills!$M$8:$M$507,$M74))</f>
        <v/>
      </c>
      <c r="H74" s="47" t="str">
        <f aca="false">IF($M74="","",INDEX(Bills!$K$8:$K$507,$M74))</f>
        <v/>
      </c>
      <c r="I74" s="64" t="str">
        <f aca="false">IF($M74="","",B74-Setup!$C$11)</f>
        <v/>
      </c>
      <c r="J74" s="46" t="str">
        <f aca="false">IF($M74="","",SUM($H$7:H74))</f>
        <v/>
      </c>
      <c r="K74" s="63" t="str">
        <f aca="false">IF($M74="","",INDEX(Bills!$N$8:$N$507,$M74))</f>
        <v/>
      </c>
      <c r="M74" s="9" t="str">
        <f aca="false">IFERROR(MATCH(SMALL(Bills!$S$8:$S$507,68),Bills!$S$8:$S$507,0),"")</f>
        <v/>
      </c>
    </row>
    <row r="75" customFormat="false" ht="15" hidden="false" customHeight="false" outlineLevel="0" collapsed="false">
      <c r="A75" s="40" t="str">
        <f aca="false">IF($M75="","",69)</f>
        <v/>
      </c>
      <c r="B75" s="62" t="str">
        <f aca="false">IF($M75="","",INT(INDEX(Bills!$S$8:$S$507,$M75)))</f>
        <v/>
      </c>
      <c r="C75" s="50" t="str">
        <f aca="false">IF($M75="","",INDEX(Bills!$D$8:$D$507,$M75))</f>
        <v/>
      </c>
      <c r="D75" s="63" t="str">
        <f aca="false">IF($M75="","",INDEX(Bills!$C$8:$C$507,$M75)&amp;"")</f>
        <v/>
      </c>
      <c r="E75" s="54" t="str">
        <f aca="false">IF($M75="","",INDEX(Bills!$B$8:$B$507,$M75))</f>
        <v/>
      </c>
      <c r="F75" s="54" t="str">
        <f aca="false">IF($M75="","",INDEX(Bills!$H$8:$H$507,$M75))</f>
        <v/>
      </c>
      <c r="G75" s="54" t="str">
        <f aca="false">IF($M75="","",INDEX(Bills!$M$8:$M$507,$M75))</f>
        <v/>
      </c>
      <c r="H75" s="47" t="str">
        <f aca="false">IF($M75="","",INDEX(Bills!$K$8:$K$507,$M75))</f>
        <v/>
      </c>
      <c r="I75" s="64" t="str">
        <f aca="false">IF($M75="","",B75-Setup!$C$11)</f>
        <v/>
      </c>
      <c r="J75" s="46" t="str">
        <f aca="false">IF($M75="","",SUM($H$7:H75))</f>
        <v/>
      </c>
      <c r="K75" s="63" t="str">
        <f aca="false">IF($M75="","",INDEX(Bills!$N$8:$N$507,$M75))</f>
        <v/>
      </c>
      <c r="M75" s="9" t="str">
        <f aca="false">IFERROR(MATCH(SMALL(Bills!$S$8:$S$507,69),Bills!$S$8:$S$507,0),"")</f>
        <v/>
      </c>
    </row>
    <row r="76" customFormat="false" ht="15" hidden="false" customHeight="false" outlineLevel="0" collapsed="false">
      <c r="A76" s="40" t="str">
        <f aca="false">IF($M76="","",70)</f>
        <v/>
      </c>
      <c r="B76" s="62" t="str">
        <f aca="false">IF($M76="","",INT(INDEX(Bills!$S$8:$S$507,$M76)))</f>
        <v/>
      </c>
      <c r="C76" s="50" t="str">
        <f aca="false">IF($M76="","",INDEX(Bills!$D$8:$D$507,$M76))</f>
        <v/>
      </c>
      <c r="D76" s="63" t="str">
        <f aca="false">IF($M76="","",INDEX(Bills!$C$8:$C$507,$M76)&amp;"")</f>
        <v/>
      </c>
      <c r="E76" s="54" t="str">
        <f aca="false">IF($M76="","",INDEX(Bills!$B$8:$B$507,$M76))</f>
        <v/>
      </c>
      <c r="F76" s="54" t="str">
        <f aca="false">IF($M76="","",INDEX(Bills!$H$8:$H$507,$M76))</f>
        <v/>
      </c>
      <c r="G76" s="54" t="str">
        <f aca="false">IF($M76="","",INDEX(Bills!$M$8:$M$507,$M76))</f>
        <v/>
      </c>
      <c r="H76" s="47" t="str">
        <f aca="false">IF($M76="","",INDEX(Bills!$K$8:$K$507,$M76))</f>
        <v/>
      </c>
      <c r="I76" s="64" t="str">
        <f aca="false">IF($M76="","",B76-Setup!$C$11)</f>
        <v/>
      </c>
      <c r="J76" s="46" t="str">
        <f aca="false">IF($M76="","",SUM($H$7:H76))</f>
        <v/>
      </c>
      <c r="K76" s="63" t="str">
        <f aca="false">IF($M76="","",INDEX(Bills!$N$8:$N$507,$M76))</f>
        <v/>
      </c>
      <c r="M76" s="9" t="str">
        <f aca="false">IFERROR(MATCH(SMALL(Bills!$S$8:$S$507,70),Bills!$S$8:$S$507,0),"")</f>
        <v/>
      </c>
    </row>
    <row r="77" customFormat="false" ht="15" hidden="false" customHeight="false" outlineLevel="0" collapsed="false">
      <c r="A77" s="40" t="str">
        <f aca="false">IF($M77="","",71)</f>
        <v/>
      </c>
      <c r="B77" s="62" t="str">
        <f aca="false">IF($M77="","",INT(INDEX(Bills!$S$8:$S$507,$M77)))</f>
        <v/>
      </c>
      <c r="C77" s="50" t="str">
        <f aca="false">IF($M77="","",INDEX(Bills!$D$8:$D$507,$M77))</f>
        <v/>
      </c>
      <c r="D77" s="63" t="str">
        <f aca="false">IF($M77="","",INDEX(Bills!$C$8:$C$507,$M77)&amp;"")</f>
        <v/>
      </c>
      <c r="E77" s="54" t="str">
        <f aca="false">IF($M77="","",INDEX(Bills!$B$8:$B$507,$M77))</f>
        <v/>
      </c>
      <c r="F77" s="54" t="str">
        <f aca="false">IF($M77="","",INDEX(Bills!$H$8:$H$507,$M77))</f>
        <v/>
      </c>
      <c r="G77" s="54" t="str">
        <f aca="false">IF($M77="","",INDEX(Bills!$M$8:$M$507,$M77))</f>
        <v/>
      </c>
      <c r="H77" s="47" t="str">
        <f aca="false">IF($M77="","",INDEX(Bills!$K$8:$K$507,$M77))</f>
        <v/>
      </c>
      <c r="I77" s="64" t="str">
        <f aca="false">IF($M77="","",B77-Setup!$C$11)</f>
        <v/>
      </c>
      <c r="J77" s="46" t="str">
        <f aca="false">IF($M77="","",SUM($H$7:H77))</f>
        <v/>
      </c>
      <c r="K77" s="63" t="str">
        <f aca="false">IF($M77="","",INDEX(Bills!$N$8:$N$507,$M77))</f>
        <v/>
      </c>
      <c r="M77" s="9" t="str">
        <f aca="false">IFERROR(MATCH(SMALL(Bills!$S$8:$S$507,71),Bills!$S$8:$S$507,0),"")</f>
        <v/>
      </c>
    </row>
    <row r="78" customFormat="false" ht="15" hidden="false" customHeight="false" outlineLevel="0" collapsed="false">
      <c r="A78" s="40" t="str">
        <f aca="false">IF($M78="","",72)</f>
        <v/>
      </c>
      <c r="B78" s="62" t="str">
        <f aca="false">IF($M78="","",INT(INDEX(Bills!$S$8:$S$507,$M78)))</f>
        <v/>
      </c>
      <c r="C78" s="50" t="str">
        <f aca="false">IF($M78="","",INDEX(Bills!$D$8:$D$507,$M78))</f>
        <v/>
      </c>
      <c r="D78" s="63" t="str">
        <f aca="false">IF($M78="","",INDEX(Bills!$C$8:$C$507,$M78)&amp;"")</f>
        <v/>
      </c>
      <c r="E78" s="54" t="str">
        <f aca="false">IF($M78="","",INDEX(Bills!$B$8:$B$507,$M78))</f>
        <v/>
      </c>
      <c r="F78" s="54" t="str">
        <f aca="false">IF($M78="","",INDEX(Bills!$H$8:$H$507,$M78))</f>
        <v/>
      </c>
      <c r="G78" s="54" t="str">
        <f aca="false">IF($M78="","",INDEX(Bills!$M$8:$M$507,$M78))</f>
        <v/>
      </c>
      <c r="H78" s="47" t="str">
        <f aca="false">IF($M78="","",INDEX(Bills!$K$8:$K$507,$M78))</f>
        <v/>
      </c>
      <c r="I78" s="64" t="str">
        <f aca="false">IF($M78="","",B78-Setup!$C$11)</f>
        <v/>
      </c>
      <c r="J78" s="46" t="str">
        <f aca="false">IF($M78="","",SUM($H$7:H78))</f>
        <v/>
      </c>
      <c r="K78" s="63" t="str">
        <f aca="false">IF($M78="","",INDEX(Bills!$N$8:$N$507,$M78))</f>
        <v/>
      </c>
      <c r="M78" s="9" t="str">
        <f aca="false">IFERROR(MATCH(SMALL(Bills!$S$8:$S$507,72),Bills!$S$8:$S$507,0),"")</f>
        <v/>
      </c>
    </row>
    <row r="79" customFormat="false" ht="15" hidden="false" customHeight="false" outlineLevel="0" collapsed="false">
      <c r="A79" s="40" t="str">
        <f aca="false">IF($M79="","",73)</f>
        <v/>
      </c>
      <c r="B79" s="62" t="str">
        <f aca="false">IF($M79="","",INT(INDEX(Bills!$S$8:$S$507,$M79)))</f>
        <v/>
      </c>
      <c r="C79" s="50" t="str">
        <f aca="false">IF($M79="","",INDEX(Bills!$D$8:$D$507,$M79))</f>
        <v/>
      </c>
      <c r="D79" s="63" t="str">
        <f aca="false">IF($M79="","",INDEX(Bills!$C$8:$C$507,$M79)&amp;"")</f>
        <v/>
      </c>
      <c r="E79" s="54" t="str">
        <f aca="false">IF($M79="","",INDEX(Bills!$B$8:$B$507,$M79))</f>
        <v/>
      </c>
      <c r="F79" s="54" t="str">
        <f aca="false">IF($M79="","",INDEX(Bills!$H$8:$H$507,$M79))</f>
        <v/>
      </c>
      <c r="G79" s="54" t="str">
        <f aca="false">IF($M79="","",INDEX(Bills!$M$8:$M$507,$M79))</f>
        <v/>
      </c>
      <c r="H79" s="47" t="str">
        <f aca="false">IF($M79="","",INDEX(Bills!$K$8:$K$507,$M79))</f>
        <v/>
      </c>
      <c r="I79" s="64" t="str">
        <f aca="false">IF($M79="","",B79-Setup!$C$11)</f>
        <v/>
      </c>
      <c r="J79" s="46" t="str">
        <f aca="false">IF($M79="","",SUM($H$7:H79))</f>
        <v/>
      </c>
      <c r="K79" s="63" t="str">
        <f aca="false">IF($M79="","",INDEX(Bills!$N$8:$N$507,$M79))</f>
        <v/>
      </c>
      <c r="M79" s="9" t="str">
        <f aca="false">IFERROR(MATCH(SMALL(Bills!$S$8:$S$507,73),Bills!$S$8:$S$507,0),"")</f>
        <v/>
      </c>
    </row>
    <row r="80" customFormat="false" ht="15" hidden="false" customHeight="false" outlineLevel="0" collapsed="false">
      <c r="A80" s="40" t="str">
        <f aca="false">IF($M80="","",74)</f>
        <v/>
      </c>
      <c r="B80" s="62" t="str">
        <f aca="false">IF($M80="","",INT(INDEX(Bills!$S$8:$S$507,$M80)))</f>
        <v/>
      </c>
      <c r="C80" s="50" t="str">
        <f aca="false">IF($M80="","",INDEX(Bills!$D$8:$D$507,$M80))</f>
        <v/>
      </c>
      <c r="D80" s="63" t="str">
        <f aca="false">IF($M80="","",INDEX(Bills!$C$8:$C$507,$M80)&amp;"")</f>
        <v/>
      </c>
      <c r="E80" s="54" t="str">
        <f aca="false">IF($M80="","",INDEX(Bills!$B$8:$B$507,$M80))</f>
        <v/>
      </c>
      <c r="F80" s="54" t="str">
        <f aca="false">IF($M80="","",INDEX(Bills!$H$8:$H$507,$M80))</f>
        <v/>
      </c>
      <c r="G80" s="54" t="str">
        <f aca="false">IF($M80="","",INDEX(Bills!$M$8:$M$507,$M80))</f>
        <v/>
      </c>
      <c r="H80" s="47" t="str">
        <f aca="false">IF($M80="","",INDEX(Bills!$K$8:$K$507,$M80))</f>
        <v/>
      </c>
      <c r="I80" s="64" t="str">
        <f aca="false">IF($M80="","",B80-Setup!$C$11)</f>
        <v/>
      </c>
      <c r="J80" s="46" t="str">
        <f aca="false">IF($M80="","",SUM($H$7:H80))</f>
        <v/>
      </c>
      <c r="K80" s="63" t="str">
        <f aca="false">IF($M80="","",INDEX(Bills!$N$8:$N$507,$M80))</f>
        <v/>
      </c>
      <c r="M80" s="9" t="str">
        <f aca="false">IFERROR(MATCH(SMALL(Bills!$S$8:$S$507,74),Bills!$S$8:$S$507,0),"")</f>
        <v/>
      </c>
    </row>
    <row r="81" customFormat="false" ht="15" hidden="false" customHeight="false" outlineLevel="0" collapsed="false">
      <c r="A81" s="40" t="str">
        <f aca="false">IF($M81="","",75)</f>
        <v/>
      </c>
      <c r="B81" s="62" t="str">
        <f aca="false">IF($M81="","",INT(INDEX(Bills!$S$8:$S$507,$M81)))</f>
        <v/>
      </c>
      <c r="C81" s="50" t="str">
        <f aca="false">IF($M81="","",INDEX(Bills!$D$8:$D$507,$M81))</f>
        <v/>
      </c>
      <c r="D81" s="63" t="str">
        <f aca="false">IF($M81="","",INDEX(Bills!$C$8:$C$507,$M81)&amp;"")</f>
        <v/>
      </c>
      <c r="E81" s="54" t="str">
        <f aca="false">IF($M81="","",INDEX(Bills!$B$8:$B$507,$M81))</f>
        <v/>
      </c>
      <c r="F81" s="54" t="str">
        <f aca="false">IF($M81="","",INDEX(Bills!$H$8:$H$507,$M81))</f>
        <v/>
      </c>
      <c r="G81" s="54" t="str">
        <f aca="false">IF($M81="","",INDEX(Bills!$M$8:$M$507,$M81))</f>
        <v/>
      </c>
      <c r="H81" s="47" t="str">
        <f aca="false">IF($M81="","",INDEX(Bills!$K$8:$K$507,$M81))</f>
        <v/>
      </c>
      <c r="I81" s="64" t="str">
        <f aca="false">IF($M81="","",B81-Setup!$C$11)</f>
        <v/>
      </c>
      <c r="J81" s="46" t="str">
        <f aca="false">IF($M81="","",SUM($H$7:H81))</f>
        <v/>
      </c>
      <c r="K81" s="63" t="str">
        <f aca="false">IF($M81="","",INDEX(Bills!$N$8:$N$507,$M81))</f>
        <v/>
      </c>
      <c r="M81" s="9" t="str">
        <f aca="false">IFERROR(MATCH(SMALL(Bills!$S$8:$S$507,75),Bills!$S$8:$S$507,0),"")</f>
        <v/>
      </c>
    </row>
    <row r="82" customFormat="false" ht="15" hidden="false" customHeight="false" outlineLevel="0" collapsed="false">
      <c r="A82" s="40" t="str">
        <f aca="false">IF($M82="","",76)</f>
        <v/>
      </c>
      <c r="B82" s="62" t="str">
        <f aca="false">IF($M82="","",INT(INDEX(Bills!$S$8:$S$507,$M82)))</f>
        <v/>
      </c>
      <c r="C82" s="50" t="str">
        <f aca="false">IF($M82="","",INDEX(Bills!$D$8:$D$507,$M82))</f>
        <v/>
      </c>
      <c r="D82" s="63" t="str">
        <f aca="false">IF($M82="","",INDEX(Bills!$C$8:$C$507,$M82)&amp;"")</f>
        <v/>
      </c>
      <c r="E82" s="54" t="str">
        <f aca="false">IF($M82="","",INDEX(Bills!$B$8:$B$507,$M82))</f>
        <v/>
      </c>
      <c r="F82" s="54" t="str">
        <f aca="false">IF($M82="","",INDEX(Bills!$H$8:$H$507,$M82))</f>
        <v/>
      </c>
      <c r="G82" s="54" t="str">
        <f aca="false">IF($M82="","",INDEX(Bills!$M$8:$M$507,$M82))</f>
        <v/>
      </c>
      <c r="H82" s="47" t="str">
        <f aca="false">IF($M82="","",INDEX(Bills!$K$8:$K$507,$M82))</f>
        <v/>
      </c>
      <c r="I82" s="64" t="str">
        <f aca="false">IF($M82="","",B82-Setup!$C$11)</f>
        <v/>
      </c>
      <c r="J82" s="46" t="str">
        <f aca="false">IF($M82="","",SUM($H$7:H82))</f>
        <v/>
      </c>
      <c r="K82" s="63" t="str">
        <f aca="false">IF($M82="","",INDEX(Bills!$N$8:$N$507,$M82))</f>
        <v/>
      </c>
      <c r="M82" s="9" t="str">
        <f aca="false">IFERROR(MATCH(SMALL(Bills!$S$8:$S$507,76),Bills!$S$8:$S$507,0),"")</f>
        <v/>
      </c>
    </row>
    <row r="83" customFormat="false" ht="15" hidden="false" customHeight="false" outlineLevel="0" collapsed="false">
      <c r="A83" s="40" t="str">
        <f aca="false">IF($M83="","",77)</f>
        <v/>
      </c>
      <c r="B83" s="62" t="str">
        <f aca="false">IF($M83="","",INT(INDEX(Bills!$S$8:$S$507,$M83)))</f>
        <v/>
      </c>
      <c r="C83" s="50" t="str">
        <f aca="false">IF($M83="","",INDEX(Bills!$D$8:$D$507,$M83))</f>
        <v/>
      </c>
      <c r="D83" s="63" t="str">
        <f aca="false">IF($M83="","",INDEX(Bills!$C$8:$C$507,$M83)&amp;"")</f>
        <v/>
      </c>
      <c r="E83" s="54" t="str">
        <f aca="false">IF($M83="","",INDEX(Bills!$B$8:$B$507,$M83))</f>
        <v/>
      </c>
      <c r="F83" s="54" t="str">
        <f aca="false">IF($M83="","",INDEX(Bills!$H$8:$H$507,$M83))</f>
        <v/>
      </c>
      <c r="G83" s="54" t="str">
        <f aca="false">IF($M83="","",INDEX(Bills!$M$8:$M$507,$M83))</f>
        <v/>
      </c>
      <c r="H83" s="47" t="str">
        <f aca="false">IF($M83="","",INDEX(Bills!$K$8:$K$507,$M83))</f>
        <v/>
      </c>
      <c r="I83" s="64" t="str">
        <f aca="false">IF($M83="","",B83-Setup!$C$11)</f>
        <v/>
      </c>
      <c r="J83" s="46" t="str">
        <f aca="false">IF($M83="","",SUM($H$7:H83))</f>
        <v/>
      </c>
      <c r="K83" s="63" t="str">
        <f aca="false">IF($M83="","",INDEX(Bills!$N$8:$N$507,$M83))</f>
        <v/>
      </c>
      <c r="M83" s="9" t="str">
        <f aca="false">IFERROR(MATCH(SMALL(Bills!$S$8:$S$507,77),Bills!$S$8:$S$507,0),"")</f>
        <v/>
      </c>
    </row>
    <row r="84" customFormat="false" ht="15" hidden="false" customHeight="false" outlineLevel="0" collapsed="false">
      <c r="A84" s="40" t="str">
        <f aca="false">IF($M84="","",78)</f>
        <v/>
      </c>
      <c r="B84" s="62" t="str">
        <f aca="false">IF($M84="","",INT(INDEX(Bills!$S$8:$S$507,$M84)))</f>
        <v/>
      </c>
      <c r="C84" s="50" t="str">
        <f aca="false">IF($M84="","",INDEX(Bills!$D$8:$D$507,$M84))</f>
        <v/>
      </c>
      <c r="D84" s="63" t="str">
        <f aca="false">IF($M84="","",INDEX(Bills!$C$8:$C$507,$M84)&amp;"")</f>
        <v/>
      </c>
      <c r="E84" s="54" t="str">
        <f aca="false">IF($M84="","",INDEX(Bills!$B$8:$B$507,$M84))</f>
        <v/>
      </c>
      <c r="F84" s="54" t="str">
        <f aca="false">IF($M84="","",INDEX(Bills!$H$8:$H$507,$M84))</f>
        <v/>
      </c>
      <c r="G84" s="54" t="str">
        <f aca="false">IF($M84="","",INDEX(Bills!$M$8:$M$507,$M84))</f>
        <v/>
      </c>
      <c r="H84" s="47" t="str">
        <f aca="false">IF($M84="","",INDEX(Bills!$K$8:$K$507,$M84))</f>
        <v/>
      </c>
      <c r="I84" s="64" t="str">
        <f aca="false">IF($M84="","",B84-Setup!$C$11)</f>
        <v/>
      </c>
      <c r="J84" s="46" t="str">
        <f aca="false">IF($M84="","",SUM($H$7:H84))</f>
        <v/>
      </c>
      <c r="K84" s="63" t="str">
        <f aca="false">IF($M84="","",INDEX(Bills!$N$8:$N$507,$M84))</f>
        <v/>
      </c>
      <c r="M84" s="9" t="str">
        <f aca="false">IFERROR(MATCH(SMALL(Bills!$S$8:$S$507,78),Bills!$S$8:$S$507,0),"")</f>
        <v/>
      </c>
    </row>
    <row r="85" customFormat="false" ht="15" hidden="false" customHeight="false" outlineLevel="0" collapsed="false">
      <c r="A85" s="40" t="str">
        <f aca="false">IF($M85="","",79)</f>
        <v/>
      </c>
      <c r="B85" s="62" t="str">
        <f aca="false">IF($M85="","",INT(INDEX(Bills!$S$8:$S$507,$M85)))</f>
        <v/>
      </c>
      <c r="C85" s="50" t="str">
        <f aca="false">IF($M85="","",INDEX(Bills!$D$8:$D$507,$M85))</f>
        <v/>
      </c>
      <c r="D85" s="63" t="str">
        <f aca="false">IF($M85="","",INDEX(Bills!$C$8:$C$507,$M85)&amp;"")</f>
        <v/>
      </c>
      <c r="E85" s="54" t="str">
        <f aca="false">IF($M85="","",INDEX(Bills!$B$8:$B$507,$M85))</f>
        <v/>
      </c>
      <c r="F85" s="54" t="str">
        <f aca="false">IF($M85="","",INDEX(Bills!$H$8:$H$507,$M85))</f>
        <v/>
      </c>
      <c r="G85" s="54" t="str">
        <f aca="false">IF($M85="","",INDEX(Bills!$M$8:$M$507,$M85))</f>
        <v/>
      </c>
      <c r="H85" s="47" t="str">
        <f aca="false">IF($M85="","",INDEX(Bills!$K$8:$K$507,$M85))</f>
        <v/>
      </c>
      <c r="I85" s="64" t="str">
        <f aca="false">IF($M85="","",B85-Setup!$C$11)</f>
        <v/>
      </c>
      <c r="J85" s="46" t="str">
        <f aca="false">IF($M85="","",SUM($H$7:H85))</f>
        <v/>
      </c>
      <c r="K85" s="63" t="str">
        <f aca="false">IF($M85="","",INDEX(Bills!$N$8:$N$507,$M85))</f>
        <v/>
      </c>
      <c r="M85" s="9" t="str">
        <f aca="false">IFERROR(MATCH(SMALL(Bills!$S$8:$S$507,79),Bills!$S$8:$S$507,0),"")</f>
        <v/>
      </c>
    </row>
    <row r="86" customFormat="false" ht="15" hidden="false" customHeight="false" outlineLevel="0" collapsed="false">
      <c r="A86" s="40" t="str">
        <f aca="false">IF($M86="","",80)</f>
        <v/>
      </c>
      <c r="B86" s="62" t="str">
        <f aca="false">IF($M86="","",INT(INDEX(Bills!$S$8:$S$507,$M86)))</f>
        <v/>
      </c>
      <c r="C86" s="50" t="str">
        <f aca="false">IF($M86="","",INDEX(Bills!$D$8:$D$507,$M86))</f>
        <v/>
      </c>
      <c r="D86" s="63" t="str">
        <f aca="false">IF($M86="","",INDEX(Bills!$C$8:$C$507,$M86)&amp;"")</f>
        <v/>
      </c>
      <c r="E86" s="54" t="str">
        <f aca="false">IF($M86="","",INDEX(Bills!$B$8:$B$507,$M86))</f>
        <v/>
      </c>
      <c r="F86" s="54" t="str">
        <f aca="false">IF($M86="","",INDEX(Bills!$H$8:$H$507,$M86))</f>
        <v/>
      </c>
      <c r="G86" s="54" t="str">
        <f aca="false">IF($M86="","",INDEX(Bills!$M$8:$M$507,$M86))</f>
        <v/>
      </c>
      <c r="H86" s="47" t="str">
        <f aca="false">IF($M86="","",INDEX(Bills!$K$8:$K$507,$M86))</f>
        <v/>
      </c>
      <c r="I86" s="64" t="str">
        <f aca="false">IF($M86="","",B86-Setup!$C$11)</f>
        <v/>
      </c>
      <c r="J86" s="46" t="str">
        <f aca="false">IF($M86="","",SUM($H$7:H86))</f>
        <v/>
      </c>
      <c r="K86" s="63" t="str">
        <f aca="false">IF($M86="","",INDEX(Bills!$N$8:$N$507,$M86))</f>
        <v/>
      </c>
      <c r="M86" s="9" t="str">
        <f aca="false">IFERROR(MATCH(SMALL(Bills!$S$8:$S$507,80),Bills!$S$8:$S$507,0),"")</f>
        <v/>
      </c>
    </row>
    <row r="87" customFormat="false" ht="15" hidden="false" customHeight="false" outlineLevel="0" collapsed="false">
      <c r="A87" s="40" t="str">
        <f aca="false">IF($M87="","",81)</f>
        <v/>
      </c>
      <c r="B87" s="62" t="str">
        <f aca="false">IF($M87="","",INT(INDEX(Bills!$S$8:$S$507,$M87)))</f>
        <v/>
      </c>
      <c r="C87" s="50" t="str">
        <f aca="false">IF($M87="","",INDEX(Bills!$D$8:$D$507,$M87))</f>
        <v/>
      </c>
      <c r="D87" s="63" t="str">
        <f aca="false">IF($M87="","",INDEX(Bills!$C$8:$C$507,$M87)&amp;"")</f>
        <v/>
      </c>
      <c r="E87" s="54" t="str">
        <f aca="false">IF($M87="","",INDEX(Bills!$B$8:$B$507,$M87))</f>
        <v/>
      </c>
      <c r="F87" s="54" t="str">
        <f aca="false">IF($M87="","",INDEX(Bills!$H$8:$H$507,$M87))</f>
        <v/>
      </c>
      <c r="G87" s="54" t="str">
        <f aca="false">IF($M87="","",INDEX(Bills!$M$8:$M$507,$M87))</f>
        <v/>
      </c>
      <c r="H87" s="47" t="str">
        <f aca="false">IF($M87="","",INDEX(Bills!$K$8:$K$507,$M87))</f>
        <v/>
      </c>
      <c r="I87" s="64" t="str">
        <f aca="false">IF($M87="","",B87-Setup!$C$11)</f>
        <v/>
      </c>
      <c r="J87" s="46" t="str">
        <f aca="false">IF($M87="","",SUM($H$7:H87))</f>
        <v/>
      </c>
      <c r="K87" s="63" t="str">
        <f aca="false">IF($M87="","",INDEX(Bills!$N$8:$N$507,$M87))</f>
        <v/>
      </c>
      <c r="M87" s="9" t="str">
        <f aca="false">IFERROR(MATCH(SMALL(Bills!$S$8:$S$507,81),Bills!$S$8:$S$507,0),"")</f>
        <v/>
      </c>
    </row>
    <row r="88" customFormat="false" ht="15" hidden="false" customHeight="false" outlineLevel="0" collapsed="false">
      <c r="A88" s="40" t="str">
        <f aca="false">IF($M88="","",82)</f>
        <v/>
      </c>
      <c r="B88" s="62" t="str">
        <f aca="false">IF($M88="","",INT(INDEX(Bills!$S$8:$S$507,$M88)))</f>
        <v/>
      </c>
      <c r="C88" s="50" t="str">
        <f aca="false">IF($M88="","",INDEX(Bills!$D$8:$D$507,$M88))</f>
        <v/>
      </c>
      <c r="D88" s="63" t="str">
        <f aca="false">IF($M88="","",INDEX(Bills!$C$8:$C$507,$M88)&amp;"")</f>
        <v/>
      </c>
      <c r="E88" s="54" t="str">
        <f aca="false">IF($M88="","",INDEX(Bills!$B$8:$B$507,$M88))</f>
        <v/>
      </c>
      <c r="F88" s="54" t="str">
        <f aca="false">IF($M88="","",INDEX(Bills!$H$8:$H$507,$M88))</f>
        <v/>
      </c>
      <c r="G88" s="54" t="str">
        <f aca="false">IF($M88="","",INDEX(Bills!$M$8:$M$507,$M88))</f>
        <v/>
      </c>
      <c r="H88" s="47" t="str">
        <f aca="false">IF($M88="","",INDEX(Bills!$K$8:$K$507,$M88))</f>
        <v/>
      </c>
      <c r="I88" s="64" t="str">
        <f aca="false">IF($M88="","",B88-Setup!$C$11)</f>
        <v/>
      </c>
      <c r="J88" s="46" t="str">
        <f aca="false">IF($M88="","",SUM($H$7:H88))</f>
        <v/>
      </c>
      <c r="K88" s="63" t="str">
        <f aca="false">IF($M88="","",INDEX(Bills!$N$8:$N$507,$M88))</f>
        <v/>
      </c>
      <c r="M88" s="9" t="str">
        <f aca="false">IFERROR(MATCH(SMALL(Bills!$S$8:$S$507,82),Bills!$S$8:$S$507,0),"")</f>
        <v/>
      </c>
    </row>
    <row r="89" customFormat="false" ht="15" hidden="false" customHeight="false" outlineLevel="0" collapsed="false">
      <c r="A89" s="40" t="str">
        <f aca="false">IF($M89="","",83)</f>
        <v/>
      </c>
      <c r="B89" s="62" t="str">
        <f aca="false">IF($M89="","",INT(INDEX(Bills!$S$8:$S$507,$M89)))</f>
        <v/>
      </c>
      <c r="C89" s="50" t="str">
        <f aca="false">IF($M89="","",INDEX(Bills!$D$8:$D$507,$M89))</f>
        <v/>
      </c>
      <c r="D89" s="63" t="str">
        <f aca="false">IF($M89="","",INDEX(Bills!$C$8:$C$507,$M89)&amp;"")</f>
        <v/>
      </c>
      <c r="E89" s="54" t="str">
        <f aca="false">IF($M89="","",INDEX(Bills!$B$8:$B$507,$M89))</f>
        <v/>
      </c>
      <c r="F89" s="54" t="str">
        <f aca="false">IF($M89="","",INDEX(Bills!$H$8:$H$507,$M89))</f>
        <v/>
      </c>
      <c r="G89" s="54" t="str">
        <f aca="false">IF($M89="","",INDEX(Bills!$M$8:$M$507,$M89))</f>
        <v/>
      </c>
      <c r="H89" s="47" t="str">
        <f aca="false">IF($M89="","",INDEX(Bills!$K$8:$K$507,$M89))</f>
        <v/>
      </c>
      <c r="I89" s="64" t="str">
        <f aca="false">IF($M89="","",B89-Setup!$C$11)</f>
        <v/>
      </c>
      <c r="J89" s="46" t="str">
        <f aca="false">IF($M89="","",SUM($H$7:H89))</f>
        <v/>
      </c>
      <c r="K89" s="63" t="str">
        <f aca="false">IF($M89="","",INDEX(Bills!$N$8:$N$507,$M89))</f>
        <v/>
      </c>
      <c r="M89" s="9" t="str">
        <f aca="false">IFERROR(MATCH(SMALL(Bills!$S$8:$S$507,83),Bills!$S$8:$S$507,0),"")</f>
        <v/>
      </c>
    </row>
    <row r="90" customFormat="false" ht="15" hidden="false" customHeight="false" outlineLevel="0" collapsed="false">
      <c r="A90" s="40" t="str">
        <f aca="false">IF($M90="","",84)</f>
        <v/>
      </c>
      <c r="B90" s="62" t="str">
        <f aca="false">IF($M90="","",INT(INDEX(Bills!$S$8:$S$507,$M90)))</f>
        <v/>
      </c>
      <c r="C90" s="50" t="str">
        <f aca="false">IF($M90="","",INDEX(Bills!$D$8:$D$507,$M90))</f>
        <v/>
      </c>
      <c r="D90" s="63" t="str">
        <f aca="false">IF($M90="","",INDEX(Bills!$C$8:$C$507,$M90)&amp;"")</f>
        <v/>
      </c>
      <c r="E90" s="54" t="str">
        <f aca="false">IF($M90="","",INDEX(Bills!$B$8:$B$507,$M90))</f>
        <v/>
      </c>
      <c r="F90" s="54" t="str">
        <f aca="false">IF($M90="","",INDEX(Bills!$H$8:$H$507,$M90))</f>
        <v/>
      </c>
      <c r="G90" s="54" t="str">
        <f aca="false">IF($M90="","",INDEX(Bills!$M$8:$M$507,$M90))</f>
        <v/>
      </c>
      <c r="H90" s="47" t="str">
        <f aca="false">IF($M90="","",INDEX(Bills!$K$8:$K$507,$M90))</f>
        <v/>
      </c>
      <c r="I90" s="64" t="str">
        <f aca="false">IF($M90="","",B90-Setup!$C$11)</f>
        <v/>
      </c>
      <c r="J90" s="46" t="str">
        <f aca="false">IF($M90="","",SUM($H$7:H90))</f>
        <v/>
      </c>
      <c r="K90" s="63" t="str">
        <f aca="false">IF($M90="","",INDEX(Bills!$N$8:$N$507,$M90))</f>
        <v/>
      </c>
      <c r="M90" s="9" t="str">
        <f aca="false">IFERROR(MATCH(SMALL(Bills!$S$8:$S$507,84),Bills!$S$8:$S$507,0),"")</f>
        <v/>
      </c>
    </row>
    <row r="91" customFormat="false" ht="15" hidden="false" customHeight="false" outlineLevel="0" collapsed="false">
      <c r="A91" s="40" t="str">
        <f aca="false">IF($M91="","",85)</f>
        <v/>
      </c>
      <c r="B91" s="62" t="str">
        <f aca="false">IF($M91="","",INT(INDEX(Bills!$S$8:$S$507,$M91)))</f>
        <v/>
      </c>
      <c r="C91" s="50" t="str">
        <f aca="false">IF($M91="","",INDEX(Bills!$D$8:$D$507,$M91))</f>
        <v/>
      </c>
      <c r="D91" s="63" t="str">
        <f aca="false">IF($M91="","",INDEX(Bills!$C$8:$C$507,$M91)&amp;"")</f>
        <v/>
      </c>
      <c r="E91" s="54" t="str">
        <f aca="false">IF($M91="","",INDEX(Bills!$B$8:$B$507,$M91))</f>
        <v/>
      </c>
      <c r="F91" s="54" t="str">
        <f aca="false">IF($M91="","",INDEX(Bills!$H$8:$H$507,$M91))</f>
        <v/>
      </c>
      <c r="G91" s="54" t="str">
        <f aca="false">IF($M91="","",INDEX(Bills!$M$8:$M$507,$M91))</f>
        <v/>
      </c>
      <c r="H91" s="47" t="str">
        <f aca="false">IF($M91="","",INDEX(Bills!$K$8:$K$507,$M91))</f>
        <v/>
      </c>
      <c r="I91" s="64" t="str">
        <f aca="false">IF($M91="","",B91-Setup!$C$11)</f>
        <v/>
      </c>
      <c r="J91" s="46" t="str">
        <f aca="false">IF($M91="","",SUM($H$7:H91))</f>
        <v/>
      </c>
      <c r="K91" s="63" t="str">
        <f aca="false">IF($M91="","",INDEX(Bills!$N$8:$N$507,$M91))</f>
        <v/>
      </c>
      <c r="M91" s="9" t="str">
        <f aca="false">IFERROR(MATCH(SMALL(Bills!$S$8:$S$507,85),Bills!$S$8:$S$507,0),"")</f>
        <v/>
      </c>
    </row>
    <row r="92" customFormat="false" ht="15" hidden="false" customHeight="false" outlineLevel="0" collapsed="false">
      <c r="A92" s="40" t="str">
        <f aca="false">IF($M92="","",86)</f>
        <v/>
      </c>
      <c r="B92" s="62" t="str">
        <f aca="false">IF($M92="","",INT(INDEX(Bills!$S$8:$S$507,$M92)))</f>
        <v/>
      </c>
      <c r="C92" s="50" t="str">
        <f aca="false">IF($M92="","",INDEX(Bills!$D$8:$D$507,$M92))</f>
        <v/>
      </c>
      <c r="D92" s="63" t="str">
        <f aca="false">IF($M92="","",INDEX(Bills!$C$8:$C$507,$M92)&amp;"")</f>
        <v/>
      </c>
      <c r="E92" s="54" t="str">
        <f aca="false">IF($M92="","",INDEX(Bills!$B$8:$B$507,$M92))</f>
        <v/>
      </c>
      <c r="F92" s="54" t="str">
        <f aca="false">IF($M92="","",INDEX(Bills!$H$8:$H$507,$M92))</f>
        <v/>
      </c>
      <c r="G92" s="54" t="str">
        <f aca="false">IF($M92="","",INDEX(Bills!$M$8:$M$507,$M92))</f>
        <v/>
      </c>
      <c r="H92" s="47" t="str">
        <f aca="false">IF($M92="","",INDEX(Bills!$K$8:$K$507,$M92))</f>
        <v/>
      </c>
      <c r="I92" s="64" t="str">
        <f aca="false">IF($M92="","",B92-Setup!$C$11)</f>
        <v/>
      </c>
      <c r="J92" s="46" t="str">
        <f aca="false">IF($M92="","",SUM($H$7:H92))</f>
        <v/>
      </c>
      <c r="K92" s="63" t="str">
        <f aca="false">IF($M92="","",INDEX(Bills!$N$8:$N$507,$M92))</f>
        <v/>
      </c>
      <c r="M92" s="9" t="str">
        <f aca="false">IFERROR(MATCH(SMALL(Bills!$S$8:$S$507,86),Bills!$S$8:$S$507,0),"")</f>
        <v/>
      </c>
    </row>
    <row r="93" customFormat="false" ht="15" hidden="false" customHeight="false" outlineLevel="0" collapsed="false">
      <c r="A93" s="40" t="str">
        <f aca="false">IF($M93="","",87)</f>
        <v/>
      </c>
      <c r="B93" s="62" t="str">
        <f aca="false">IF($M93="","",INT(INDEX(Bills!$S$8:$S$507,$M93)))</f>
        <v/>
      </c>
      <c r="C93" s="50" t="str">
        <f aca="false">IF($M93="","",INDEX(Bills!$D$8:$D$507,$M93))</f>
        <v/>
      </c>
      <c r="D93" s="63" t="str">
        <f aca="false">IF($M93="","",INDEX(Bills!$C$8:$C$507,$M93)&amp;"")</f>
        <v/>
      </c>
      <c r="E93" s="54" t="str">
        <f aca="false">IF($M93="","",INDEX(Bills!$B$8:$B$507,$M93))</f>
        <v/>
      </c>
      <c r="F93" s="54" t="str">
        <f aca="false">IF($M93="","",INDEX(Bills!$H$8:$H$507,$M93))</f>
        <v/>
      </c>
      <c r="G93" s="54" t="str">
        <f aca="false">IF($M93="","",INDEX(Bills!$M$8:$M$507,$M93))</f>
        <v/>
      </c>
      <c r="H93" s="47" t="str">
        <f aca="false">IF($M93="","",INDEX(Bills!$K$8:$K$507,$M93))</f>
        <v/>
      </c>
      <c r="I93" s="64" t="str">
        <f aca="false">IF($M93="","",B93-Setup!$C$11)</f>
        <v/>
      </c>
      <c r="J93" s="46" t="str">
        <f aca="false">IF($M93="","",SUM($H$7:H93))</f>
        <v/>
      </c>
      <c r="K93" s="63" t="str">
        <f aca="false">IF($M93="","",INDEX(Bills!$N$8:$N$507,$M93))</f>
        <v/>
      </c>
      <c r="M93" s="9" t="str">
        <f aca="false">IFERROR(MATCH(SMALL(Bills!$S$8:$S$507,87),Bills!$S$8:$S$507,0),"")</f>
        <v/>
      </c>
    </row>
    <row r="94" customFormat="false" ht="15" hidden="false" customHeight="false" outlineLevel="0" collapsed="false">
      <c r="A94" s="40" t="str">
        <f aca="false">IF($M94="","",88)</f>
        <v/>
      </c>
      <c r="B94" s="62" t="str">
        <f aca="false">IF($M94="","",INT(INDEX(Bills!$S$8:$S$507,$M94)))</f>
        <v/>
      </c>
      <c r="C94" s="50" t="str">
        <f aca="false">IF($M94="","",INDEX(Bills!$D$8:$D$507,$M94))</f>
        <v/>
      </c>
      <c r="D94" s="63" t="str">
        <f aca="false">IF($M94="","",INDEX(Bills!$C$8:$C$507,$M94)&amp;"")</f>
        <v/>
      </c>
      <c r="E94" s="54" t="str">
        <f aca="false">IF($M94="","",INDEX(Bills!$B$8:$B$507,$M94))</f>
        <v/>
      </c>
      <c r="F94" s="54" t="str">
        <f aca="false">IF($M94="","",INDEX(Bills!$H$8:$H$507,$M94))</f>
        <v/>
      </c>
      <c r="G94" s="54" t="str">
        <f aca="false">IF($M94="","",INDEX(Bills!$M$8:$M$507,$M94))</f>
        <v/>
      </c>
      <c r="H94" s="47" t="str">
        <f aca="false">IF($M94="","",INDEX(Bills!$K$8:$K$507,$M94))</f>
        <v/>
      </c>
      <c r="I94" s="64" t="str">
        <f aca="false">IF($M94="","",B94-Setup!$C$11)</f>
        <v/>
      </c>
      <c r="J94" s="46" t="str">
        <f aca="false">IF($M94="","",SUM($H$7:H94))</f>
        <v/>
      </c>
      <c r="K94" s="63" t="str">
        <f aca="false">IF($M94="","",INDEX(Bills!$N$8:$N$507,$M94))</f>
        <v/>
      </c>
      <c r="M94" s="9" t="str">
        <f aca="false">IFERROR(MATCH(SMALL(Bills!$S$8:$S$507,88),Bills!$S$8:$S$507,0),"")</f>
        <v/>
      </c>
    </row>
    <row r="95" customFormat="false" ht="15" hidden="false" customHeight="false" outlineLevel="0" collapsed="false">
      <c r="A95" s="40" t="str">
        <f aca="false">IF($M95="","",89)</f>
        <v/>
      </c>
      <c r="B95" s="62" t="str">
        <f aca="false">IF($M95="","",INT(INDEX(Bills!$S$8:$S$507,$M95)))</f>
        <v/>
      </c>
      <c r="C95" s="50" t="str">
        <f aca="false">IF($M95="","",INDEX(Bills!$D$8:$D$507,$M95))</f>
        <v/>
      </c>
      <c r="D95" s="63" t="str">
        <f aca="false">IF($M95="","",INDEX(Bills!$C$8:$C$507,$M95)&amp;"")</f>
        <v/>
      </c>
      <c r="E95" s="54" t="str">
        <f aca="false">IF($M95="","",INDEX(Bills!$B$8:$B$507,$M95))</f>
        <v/>
      </c>
      <c r="F95" s="54" t="str">
        <f aca="false">IF($M95="","",INDEX(Bills!$H$8:$H$507,$M95))</f>
        <v/>
      </c>
      <c r="G95" s="54" t="str">
        <f aca="false">IF($M95="","",INDEX(Bills!$M$8:$M$507,$M95))</f>
        <v/>
      </c>
      <c r="H95" s="47" t="str">
        <f aca="false">IF($M95="","",INDEX(Bills!$K$8:$K$507,$M95))</f>
        <v/>
      </c>
      <c r="I95" s="64" t="str">
        <f aca="false">IF($M95="","",B95-Setup!$C$11)</f>
        <v/>
      </c>
      <c r="J95" s="46" t="str">
        <f aca="false">IF($M95="","",SUM($H$7:H95))</f>
        <v/>
      </c>
      <c r="K95" s="63" t="str">
        <f aca="false">IF($M95="","",INDEX(Bills!$N$8:$N$507,$M95))</f>
        <v/>
      </c>
      <c r="M95" s="9" t="str">
        <f aca="false">IFERROR(MATCH(SMALL(Bills!$S$8:$S$507,89),Bills!$S$8:$S$507,0),"")</f>
        <v/>
      </c>
    </row>
    <row r="96" customFormat="false" ht="15" hidden="false" customHeight="false" outlineLevel="0" collapsed="false">
      <c r="A96" s="40" t="str">
        <f aca="false">IF($M96="","",90)</f>
        <v/>
      </c>
      <c r="B96" s="62" t="str">
        <f aca="false">IF($M96="","",INT(INDEX(Bills!$S$8:$S$507,$M96)))</f>
        <v/>
      </c>
      <c r="C96" s="50" t="str">
        <f aca="false">IF($M96="","",INDEX(Bills!$D$8:$D$507,$M96))</f>
        <v/>
      </c>
      <c r="D96" s="63" t="str">
        <f aca="false">IF($M96="","",INDEX(Bills!$C$8:$C$507,$M96)&amp;"")</f>
        <v/>
      </c>
      <c r="E96" s="54" t="str">
        <f aca="false">IF($M96="","",INDEX(Bills!$B$8:$B$507,$M96))</f>
        <v/>
      </c>
      <c r="F96" s="54" t="str">
        <f aca="false">IF($M96="","",INDEX(Bills!$H$8:$H$507,$M96))</f>
        <v/>
      </c>
      <c r="G96" s="54" t="str">
        <f aca="false">IF($M96="","",INDEX(Bills!$M$8:$M$507,$M96))</f>
        <v/>
      </c>
      <c r="H96" s="47" t="str">
        <f aca="false">IF($M96="","",INDEX(Bills!$K$8:$K$507,$M96))</f>
        <v/>
      </c>
      <c r="I96" s="64" t="str">
        <f aca="false">IF($M96="","",B96-Setup!$C$11)</f>
        <v/>
      </c>
      <c r="J96" s="46" t="str">
        <f aca="false">IF($M96="","",SUM($H$7:H96))</f>
        <v/>
      </c>
      <c r="K96" s="63" t="str">
        <f aca="false">IF($M96="","",INDEX(Bills!$N$8:$N$507,$M96))</f>
        <v/>
      </c>
      <c r="M96" s="9" t="str">
        <f aca="false">IFERROR(MATCH(SMALL(Bills!$S$8:$S$507,90),Bills!$S$8:$S$507,0),"")</f>
        <v/>
      </c>
    </row>
    <row r="97" customFormat="false" ht="15" hidden="false" customHeight="false" outlineLevel="0" collapsed="false">
      <c r="A97" s="40" t="str">
        <f aca="false">IF($M97="","",91)</f>
        <v/>
      </c>
      <c r="B97" s="62" t="str">
        <f aca="false">IF($M97="","",INT(INDEX(Bills!$S$8:$S$507,$M97)))</f>
        <v/>
      </c>
      <c r="C97" s="50" t="str">
        <f aca="false">IF($M97="","",INDEX(Bills!$D$8:$D$507,$M97))</f>
        <v/>
      </c>
      <c r="D97" s="63" t="str">
        <f aca="false">IF($M97="","",INDEX(Bills!$C$8:$C$507,$M97)&amp;"")</f>
        <v/>
      </c>
      <c r="E97" s="54" t="str">
        <f aca="false">IF($M97="","",INDEX(Bills!$B$8:$B$507,$M97))</f>
        <v/>
      </c>
      <c r="F97" s="54" t="str">
        <f aca="false">IF($M97="","",INDEX(Bills!$H$8:$H$507,$M97))</f>
        <v/>
      </c>
      <c r="G97" s="54" t="str">
        <f aca="false">IF($M97="","",INDEX(Bills!$M$8:$M$507,$M97))</f>
        <v/>
      </c>
      <c r="H97" s="47" t="str">
        <f aca="false">IF($M97="","",INDEX(Bills!$K$8:$K$507,$M97))</f>
        <v/>
      </c>
      <c r="I97" s="64" t="str">
        <f aca="false">IF($M97="","",B97-Setup!$C$11)</f>
        <v/>
      </c>
      <c r="J97" s="46" t="str">
        <f aca="false">IF($M97="","",SUM($H$7:H97))</f>
        <v/>
      </c>
      <c r="K97" s="63" t="str">
        <f aca="false">IF($M97="","",INDEX(Bills!$N$8:$N$507,$M97))</f>
        <v/>
      </c>
      <c r="M97" s="9" t="str">
        <f aca="false">IFERROR(MATCH(SMALL(Bills!$S$8:$S$507,91),Bills!$S$8:$S$507,0),"")</f>
        <v/>
      </c>
    </row>
    <row r="98" customFormat="false" ht="15" hidden="false" customHeight="false" outlineLevel="0" collapsed="false">
      <c r="A98" s="40" t="str">
        <f aca="false">IF($M98="","",92)</f>
        <v/>
      </c>
      <c r="B98" s="62" t="str">
        <f aca="false">IF($M98="","",INT(INDEX(Bills!$S$8:$S$507,$M98)))</f>
        <v/>
      </c>
      <c r="C98" s="50" t="str">
        <f aca="false">IF($M98="","",INDEX(Bills!$D$8:$D$507,$M98))</f>
        <v/>
      </c>
      <c r="D98" s="63" t="str">
        <f aca="false">IF($M98="","",INDEX(Bills!$C$8:$C$507,$M98)&amp;"")</f>
        <v/>
      </c>
      <c r="E98" s="54" t="str">
        <f aca="false">IF($M98="","",INDEX(Bills!$B$8:$B$507,$M98))</f>
        <v/>
      </c>
      <c r="F98" s="54" t="str">
        <f aca="false">IF($M98="","",INDEX(Bills!$H$8:$H$507,$M98))</f>
        <v/>
      </c>
      <c r="G98" s="54" t="str">
        <f aca="false">IF($M98="","",INDEX(Bills!$M$8:$M$507,$M98))</f>
        <v/>
      </c>
      <c r="H98" s="47" t="str">
        <f aca="false">IF($M98="","",INDEX(Bills!$K$8:$K$507,$M98))</f>
        <v/>
      </c>
      <c r="I98" s="64" t="str">
        <f aca="false">IF($M98="","",B98-Setup!$C$11)</f>
        <v/>
      </c>
      <c r="J98" s="46" t="str">
        <f aca="false">IF($M98="","",SUM($H$7:H98))</f>
        <v/>
      </c>
      <c r="K98" s="63" t="str">
        <f aca="false">IF($M98="","",INDEX(Bills!$N$8:$N$507,$M98))</f>
        <v/>
      </c>
      <c r="M98" s="9" t="str">
        <f aca="false">IFERROR(MATCH(SMALL(Bills!$S$8:$S$507,92),Bills!$S$8:$S$507,0),"")</f>
        <v/>
      </c>
    </row>
    <row r="99" customFormat="false" ht="15" hidden="false" customHeight="false" outlineLevel="0" collapsed="false">
      <c r="A99" s="40" t="str">
        <f aca="false">IF($M99="","",93)</f>
        <v/>
      </c>
      <c r="B99" s="62" t="str">
        <f aca="false">IF($M99="","",INT(INDEX(Bills!$S$8:$S$507,$M99)))</f>
        <v/>
      </c>
      <c r="C99" s="50" t="str">
        <f aca="false">IF($M99="","",INDEX(Bills!$D$8:$D$507,$M99))</f>
        <v/>
      </c>
      <c r="D99" s="63" t="str">
        <f aca="false">IF($M99="","",INDEX(Bills!$C$8:$C$507,$M99)&amp;"")</f>
        <v/>
      </c>
      <c r="E99" s="54" t="str">
        <f aca="false">IF($M99="","",INDEX(Bills!$B$8:$B$507,$M99))</f>
        <v/>
      </c>
      <c r="F99" s="54" t="str">
        <f aca="false">IF($M99="","",INDEX(Bills!$H$8:$H$507,$M99))</f>
        <v/>
      </c>
      <c r="G99" s="54" t="str">
        <f aca="false">IF($M99="","",INDEX(Bills!$M$8:$M$507,$M99))</f>
        <v/>
      </c>
      <c r="H99" s="47" t="str">
        <f aca="false">IF($M99="","",INDEX(Bills!$K$8:$K$507,$M99))</f>
        <v/>
      </c>
      <c r="I99" s="64" t="str">
        <f aca="false">IF($M99="","",B99-Setup!$C$11)</f>
        <v/>
      </c>
      <c r="J99" s="46" t="str">
        <f aca="false">IF($M99="","",SUM($H$7:H99))</f>
        <v/>
      </c>
      <c r="K99" s="63" t="str">
        <f aca="false">IF($M99="","",INDEX(Bills!$N$8:$N$507,$M99))</f>
        <v/>
      </c>
      <c r="M99" s="9" t="str">
        <f aca="false">IFERROR(MATCH(SMALL(Bills!$S$8:$S$507,93),Bills!$S$8:$S$507,0),"")</f>
        <v/>
      </c>
    </row>
    <row r="100" customFormat="false" ht="15" hidden="false" customHeight="false" outlineLevel="0" collapsed="false">
      <c r="A100" s="40" t="str">
        <f aca="false">IF($M100="","",94)</f>
        <v/>
      </c>
      <c r="B100" s="62" t="str">
        <f aca="false">IF($M100="","",INT(INDEX(Bills!$S$8:$S$507,$M100)))</f>
        <v/>
      </c>
      <c r="C100" s="50" t="str">
        <f aca="false">IF($M100="","",INDEX(Bills!$D$8:$D$507,$M100))</f>
        <v/>
      </c>
      <c r="D100" s="63" t="str">
        <f aca="false">IF($M100="","",INDEX(Bills!$C$8:$C$507,$M100)&amp;"")</f>
        <v/>
      </c>
      <c r="E100" s="54" t="str">
        <f aca="false">IF($M100="","",INDEX(Bills!$B$8:$B$507,$M100))</f>
        <v/>
      </c>
      <c r="F100" s="54" t="str">
        <f aca="false">IF($M100="","",INDEX(Bills!$H$8:$H$507,$M100))</f>
        <v/>
      </c>
      <c r="G100" s="54" t="str">
        <f aca="false">IF($M100="","",INDEX(Bills!$M$8:$M$507,$M100))</f>
        <v/>
      </c>
      <c r="H100" s="47" t="str">
        <f aca="false">IF($M100="","",INDEX(Bills!$K$8:$K$507,$M100))</f>
        <v/>
      </c>
      <c r="I100" s="64" t="str">
        <f aca="false">IF($M100="","",B100-Setup!$C$11)</f>
        <v/>
      </c>
      <c r="J100" s="46" t="str">
        <f aca="false">IF($M100="","",SUM($H$7:H100))</f>
        <v/>
      </c>
      <c r="K100" s="63" t="str">
        <f aca="false">IF($M100="","",INDEX(Bills!$N$8:$N$507,$M100))</f>
        <v/>
      </c>
      <c r="M100" s="9" t="str">
        <f aca="false">IFERROR(MATCH(SMALL(Bills!$S$8:$S$507,94),Bills!$S$8:$S$507,0),"")</f>
        <v/>
      </c>
    </row>
    <row r="101" customFormat="false" ht="15" hidden="false" customHeight="false" outlineLevel="0" collapsed="false">
      <c r="A101" s="40" t="str">
        <f aca="false">IF($M101="","",95)</f>
        <v/>
      </c>
      <c r="B101" s="62" t="str">
        <f aca="false">IF($M101="","",INT(INDEX(Bills!$S$8:$S$507,$M101)))</f>
        <v/>
      </c>
      <c r="C101" s="50" t="str">
        <f aca="false">IF($M101="","",INDEX(Bills!$D$8:$D$507,$M101))</f>
        <v/>
      </c>
      <c r="D101" s="63" t="str">
        <f aca="false">IF($M101="","",INDEX(Bills!$C$8:$C$507,$M101)&amp;"")</f>
        <v/>
      </c>
      <c r="E101" s="54" t="str">
        <f aca="false">IF($M101="","",INDEX(Bills!$B$8:$B$507,$M101))</f>
        <v/>
      </c>
      <c r="F101" s="54" t="str">
        <f aca="false">IF($M101="","",INDEX(Bills!$H$8:$H$507,$M101))</f>
        <v/>
      </c>
      <c r="G101" s="54" t="str">
        <f aca="false">IF($M101="","",INDEX(Bills!$M$8:$M$507,$M101))</f>
        <v/>
      </c>
      <c r="H101" s="47" t="str">
        <f aca="false">IF($M101="","",INDEX(Bills!$K$8:$K$507,$M101))</f>
        <v/>
      </c>
      <c r="I101" s="64" t="str">
        <f aca="false">IF($M101="","",B101-Setup!$C$11)</f>
        <v/>
      </c>
      <c r="J101" s="46" t="str">
        <f aca="false">IF($M101="","",SUM($H$7:H101))</f>
        <v/>
      </c>
      <c r="K101" s="63" t="str">
        <f aca="false">IF($M101="","",INDEX(Bills!$N$8:$N$507,$M101))</f>
        <v/>
      </c>
      <c r="M101" s="9" t="str">
        <f aca="false">IFERROR(MATCH(SMALL(Bills!$S$8:$S$507,95),Bills!$S$8:$S$507,0),"")</f>
        <v/>
      </c>
    </row>
    <row r="102" customFormat="false" ht="15" hidden="false" customHeight="false" outlineLevel="0" collapsed="false">
      <c r="A102" s="40" t="str">
        <f aca="false">IF($M102="","",96)</f>
        <v/>
      </c>
      <c r="B102" s="62" t="str">
        <f aca="false">IF($M102="","",INT(INDEX(Bills!$S$8:$S$507,$M102)))</f>
        <v/>
      </c>
      <c r="C102" s="50" t="str">
        <f aca="false">IF($M102="","",INDEX(Bills!$D$8:$D$507,$M102))</f>
        <v/>
      </c>
      <c r="D102" s="63" t="str">
        <f aca="false">IF($M102="","",INDEX(Bills!$C$8:$C$507,$M102)&amp;"")</f>
        <v/>
      </c>
      <c r="E102" s="54" t="str">
        <f aca="false">IF($M102="","",INDEX(Bills!$B$8:$B$507,$M102))</f>
        <v/>
      </c>
      <c r="F102" s="54" t="str">
        <f aca="false">IF($M102="","",INDEX(Bills!$H$8:$H$507,$M102))</f>
        <v/>
      </c>
      <c r="G102" s="54" t="str">
        <f aca="false">IF($M102="","",INDEX(Bills!$M$8:$M$507,$M102))</f>
        <v/>
      </c>
      <c r="H102" s="47" t="str">
        <f aca="false">IF($M102="","",INDEX(Bills!$K$8:$K$507,$M102))</f>
        <v/>
      </c>
      <c r="I102" s="64" t="str">
        <f aca="false">IF($M102="","",B102-Setup!$C$11)</f>
        <v/>
      </c>
      <c r="J102" s="46" t="str">
        <f aca="false">IF($M102="","",SUM($H$7:H102))</f>
        <v/>
      </c>
      <c r="K102" s="63" t="str">
        <f aca="false">IF($M102="","",INDEX(Bills!$N$8:$N$507,$M102))</f>
        <v/>
      </c>
      <c r="M102" s="9" t="str">
        <f aca="false">IFERROR(MATCH(SMALL(Bills!$S$8:$S$507,96),Bills!$S$8:$S$507,0),"")</f>
        <v/>
      </c>
    </row>
    <row r="103" customFormat="false" ht="15" hidden="false" customHeight="false" outlineLevel="0" collapsed="false">
      <c r="A103" s="40" t="str">
        <f aca="false">IF($M103="","",97)</f>
        <v/>
      </c>
      <c r="B103" s="62" t="str">
        <f aca="false">IF($M103="","",INT(INDEX(Bills!$S$8:$S$507,$M103)))</f>
        <v/>
      </c>
      <c r="C103" s="50" t="str">
        <f aca="false">IF($M103="","",INDEX(Bills!$D$8:$D$507,$M103))</f>
        <v/>
      </c>
      <c r="D103" s="63" t="str">
        <f aca="false">IF($M103="","",INDEX(Bills!$C$8:$C$507,$M103)&amp;"")</f>
        <v/>
      </c>
      <c r="E103" s="54" t="str">
        <f aca="false">IF($M103="","",INDEX(Bills!$B$8:$B$507,$M103))</f>
        <v/>
      </c>
      <c r="F103" s="54" t="str">
        <f aca="false">IF($M103="","",INDEX(Bills!$H$8:$H$507,$M103))</f>
        <v/>
      </c>
      <c r="G103" s="54" t="str">
        <f aca="false">IF($M103="","",INDEX(Bills!$M$8:$M$507,$M103))</f>
        <v/>
      </c>
      <c r="H103" s="47" t="str">
        <f aca="false">IF($M103="","",INDEX(Bills!$K$8:$K$507,$M103))</f>
        <v/>
      </c>
      <c r="I103" s="64" t="str">
        <f aca="false">IF($M103="","",B103-Setup!$C$11)</f>
        <v/>
      </c>
      <c r="J103" s="46" t="str">
        <f aca="false">IF($M103="","",SUM($H$7:H103))</f>
        <v/>
      </c>
      <c r="K103" s="63" t="str">
        <f aca="false">IF($M103="","",INDEX(Bills!$N$8:$N$507,$M103))</f>
        <v/>
      </c>
      <c r="M103" s="9" t="str">
        <f aca="false">IFERROR(MATCH(SMALL(Bills!$S$8:$S$507,97),Bills!$S$8:$S$507,0),"")</f>
        <v/>
      </c>
    </row>
    <row r="104" customFormat="false" ht="15" hidden="false" customHeight="false" outlineLevel="0" collapsed="false">
      <c r="A104" s="40" t="str">
        <f aca="false">IF($M104="","",98)</f>
        <v/>
      </c>
      <c r="B104" s="62" t="str">
        <f aca="false">IF($M104="","",INT(INDEX(Bills!$S$8:$S$507,$M104)))</f>
        <v/>
      </c>
      <c r="C104" s="50" t="str">
        <f aca="false">IF($M104="","",INDEX(Bills!$D$8:$D$507,$M104))</f>
        <v/>
      </c>
      <c r="D104" s="63" t="str">
        <f aca="false">IF($M104="","",INDEX(Bills!$C$8:$C$507,$M104)&amp;"")</f>
        <v/>
      </c>
      <c r="E104" s="54" t="str">
        <f aca="false">IF($M104="","",INDEX(Bills!$B$8:$B$507,$M104))</f>
        <v/>
      </c>
      <c r="F104" s="54" t="str">
        <f aca="false">IF($M104="","",INDEX(Bills!$H$8:$H$507,$M104))</f>
        <v/>
      </c>
      <c r="G104" s="54" t="str">
        <f aca="false">IF($M104="","",INDEX(Bills!$M$8:$M$507,$M104))</f>
        <v/>
      </c>
      <c r="H104" s="47" t="str">
        <f aca="false">IF($M104="","",INDEX(Bills!$K$8:$K$507,$M104))</f>
        <v/>
      </c>
      <c r="I104" s="64" t="str">
        <f aca="false">IF($M104="","",B104-Setup!$C$11)</f>
        <v/>
      </c>
      <c r="J104" s="46" t="str">
        <f aca="false">IF($M104="","",SUM($H$7:H104))</f>
        <v/>
      </c>
      <c r="K104" s="63" t="str">
        <f aca="false">IF($M104="","",INDEX(Bills!$N$8:$N$507,$M104))</f>
        <v/>
      </c>
      <c r="M104" s="9" t="str">
        <f aca="false">IFERROR(MATCH(SMALL(Bills!$S$8:$S$507,98),Bills!$S$8:$S$507,0),"")</f>
        <v/>
      </c>
    </row>
    <row r="105" customFormat="false" ht="15" hidden="false" customHeight="false" outlineLevel="0" collapsed="false">
      <c r="A105" s="40" t="str">
        <f aca="false">IF($M105="","",99)</f>
        <v/>
      </c>
      <c r="B105" s="62" t="str">
        <f aca="false">IF($M105="","",INT(INDEX(Bills!$S$8:$S$507,$M105)))</f>
        <v/>
      </c>
      <c r="C105" s="50" t="str">
        <f aca="false">IF($M105="","",INDEX(Bills!$D$8:$D$507,$M105))</f>
        <v/>
      </c>
      <c r="D105" s="63" t="str">
        <f aca="false">IF($M105="","",INDEX(Bills!$C$8:$C$507,$M105)&amp;"")</f>
        <v/>
      </c>
      <c r="E105" s="54" t="str">
        <f aca="false">IF($M105="","",INDEX(Bills!$B$8:$B$507,$M105))</f>
        <v/>
      </c>
      <c r="F105" s="54" t="str">
        <f aca="false">IF($M105="","",INDEX(Bills!$H$8:$H$507,$M105))</f>
        <v/>
      </c>
      <c r="G105" s="54" t="str">
        <f aca="false">IF($M105="","",INDEX(Bills!$M$8:$M$507,$M105))</f>
        <v/>
      </c>
      <c r="H105" s="47" t="str">
        <f aca="false">IF($M105="","",INDEX(Bills!$K$8:$K$507,$M105))</f>
        <v/>
      </c>
      <c r="I105" s="64" t="str">
        <f aca="false">IF($M105="","",B105-Setup!$C$11)</f>
        <v/>
      </c>
      <c r="J105" s="46" t="str">
        <f aca="false">IF($M105="","",SUM($H$7:H105))</f>
        <v/>
      </c>
      <c r="K105" s="63" t="str">
        <f aca="false">IF($M105="","",INDEX(Bills!$N$8:$N$507,$M105))</f>
        <v/>
      </c>
      <c r="M105" s="9" t="str">
        <f aca="false">IFERROR(MATCH(SMALL(Bills!$S$8:$S$507,99),Bills!$S$8:$S$507,0),"")</f>
        <v/>
      </c>
    </row>
    <row r="106" customFormat="false" ht="15" hidden="false" customHeight="false" outlineLevel="0" collapsed="false">
      <c r="A106" s="40" t="str">
        <f aca="false">IF($M106="","",100)</f>
        <v/>
      </c>
      <c r="B106" s="62" t="str">
        <f aca="false">IF($M106="","",INT(INDEX(Bills!$S$8:$S$507,$M106)))</f>
        <v/>
      </c>
      <c r="C106" s="50" t="str">
        <f aca="false">IF($M106="","",INDEX(Bills!$D$8:$D$507,$M106))</f>
        <v/>
      </c>
      <c r="D106" s="63" t="str">
        <f aca="false">IF($M106="","",INDEX(Bills!$C$8:$C$507,$M106)&amp;"")</f>
        <v/>
      </c>
      <c r="E106" s="54" t="str">
        <f aca="false">IF($M106="","",INDEX(Bills!$B$8:$B$507,$M106))</f>
        <v/>
      </c>
      <c r="F106" s="54" t="str">
        <f aca="false">IF($M106="","",INDEX(Bills!$H$8:$H$507,$M106))</f>
        <v/>
      </c>
      <c r="G106" s="54" t="str">
        <f aca="false">IF($M106="","",INDEX(Bills!$M$8:$M$507,$M106))</f>
        <v/>
      </c>
      <c r="H106" s="47" t="str">
        <f aca="false">IF($M106="","",INDEX(Bills!$K$8:$K$507,$M106))</f>
        <v/>
      </c>
      <c r="I106" s="64" t="str">
        <f aca="false">IF($M106="","",B106-Setup!$C$11)</f>
        <v/>
      </c>
      <c r="J106" s="46" t="str">
        <f aca="false">IF($M106="","",SUM($H$7:H106))</f>
        <v/>
      </c>
      <c r="K106" s="63" t="str">
        <f aca="false">IF($M106="","",INDEX(Bills!$N$8:$N$507,$M106))</f>
        <v/>
      </c>
      <c r="M106" s="9" t="str">
        <f aca="false">IFERROR(MATCH(SMALL(Bills!$S$8:$S$507,100),Bills!$S$8:$S$507,0),"")</f>
        <v/>
      </c>
    </row>
    <row r="107" customFormat="false" ht="15" hidden="false" customHeight="false" outlineLevel="0" collapsed="false">
      <c r="A107" s="40" t="str">
        <f aca="false">IF($M107="","",101)</f>
        <v/>
      </c>
      <c r="B107" s="62" t="str">
        <f aca="false">IF($M107="","",INT(INDEX(Bills!$S$8:$S$507,$M107)))</f>
        <v/>
      </c>
      <c r="C107" s="50" t="str">
        <f aca="false">IF($M107="","",INDEX(Bills!$D$8:$D$507,$M107))</f>
        <v/>
      </c>
      <c r="D107" s="63" t="str">
        <f aca="false">IF($M107="","",INDEX(Bills!$C$8:$C$507,$M107)&amp;"")</f>
        <v/>
      </c>
      <c r="E107" s="54" t="str">
        <f aca="false">IF($M107="","",INDEX(Bills!$B$8:$B$507,$M107))</f>
        <v/>
      </c>
      <c r="F107" s="54" t="str">
        <f aca="false">IF($M107="","",INDEX(Bills!$H$8:$H$507,$M107))</f>
        <v/>
      </c>
      <c r="G107" s="54" t="str">
        <f aca="false">IF($M107="","",INDEX(Bills!$M$8:$M$507,$M107))</f>
        <v/>
      </c>
      <c r="H107" s="47" t="str">
        <f aca="false">IF($M107="","",INDEX(Bills!$K$8:$K$507,$M107))</f>
        <v/>
      </c>
      <c r="I107" s="64" t="str">
        <f aca="false">IF($M107="","",B107-Setup!$C$11)</f>
        <v/>
      </c>
      <c r="J107" s="46" t="str">
        <f aca="false">IF($M107="","",SUM($H$7:H107))</f>
        <v/>
      </c>
      <c r="K107" s="63" t="str">
        <f aca="false">IF($M107="","",INDEX(Bills!$N$8:$N$507,$M107))</f>
        <v/>
      </c>
      <c r="M107" s="9" t="str">
        <f aca="false">IFERROR(MATCH(SMALL(Bills!$S$8:$S$507,101),Bills!$S$8:$S$507,0),"")</f>
        <v/>
      </c>
    </row>
    <row r="108" customFormat="false" ht="15" hidden="false" customHeight="false" outlineLevel="0" collapsed="false">
      <c r="A108" s="40" t="str">
        <f aca="false">IF($M108="","",102)</f>
        <v/>
      </c>
      <c r="B108" s="62" t="str">
        <f aca="false">IF($M108="","",INT(INDEX(Bills!$S$8:$S$507,$M108)))</f>
        <v/>
      </c>
      <c r="C108" s="50" t="str">
        <f aca="false">IF($M108="","",INDEX(Bills!$D$8:$D$507,$M108))</f>
        <v/>
      </c>
      <c r="D108" s="63" t="str">
        <f aca="false">IF($M108="","",INDEX(Bills!$C$8:$C$507,$M108)&amp;"")</f>
        <v/>
      </c>
      <c r="E108" s="54" t="str">
        <f aca="false">IF($M108="","",INDEX(Bills!$B$8:$B$507,$M108))</f>
        <v/>
      </c>
      <c r="F108" s="54" t="str">
        <f aca="false">IF($M108="","",INDEX(Bills!$H$8:$H$507,$M108))</f>
        <v/>
      </c>
      <c r="G108" s="54" t="str">
        <f aca="false">IF($M108="","",INDEX(Bills!$M$8:$M$507,$M108))</f>
        <v/>
      </c>
      <c r="H108" s="47" t="str">
        <f aca="false">IF($M108="","",INDEX(Bills!$K$8:$K$507,$M108))</f>
        <v/>
      </c>
      <c r="I108" s="64" t="str">
        <f aca="false">IF($M108="","",B108-Setup!$C$11)</f>
        <v/>
      </c>
      <c r="J108" s="46" t="str">
        <f aca="false">IF($M108="","",SUM($H$7:H108))</f>
        <v/>
      </c>
      <c r="K108" s="63" t="str">
        <f aca="false">IF($M108="","",INDEX(Bills!$N$8:$N$507,$M108))</f>
        <v/>
      </c>
      <c r="M108" s="9" t="str">
        <f aca="false">IFERROR(MATCH(SMALL(Bills!$S$8:$S$507,102),Bills!$S$8:$S$507,0),"")</f>
        <v/>
      </c>
    </row>
    <row r="109" customFormat="false" ht="15" hidden="false" customHeight="false" outlineLevel="0" collapsed="false">
      <c r="A109" s="40" t="str">
        <f aca="false">IF($M109="","",103)</f>
        <v/>
      </c>
      <c r="B109" s="62" t="str">
        <f aca="false">IF($M109="","",INT(INDEX(Bills!$S$8:$S$507,$M109)))</f>
        <v/>
      </c>
      <c r="C109" s="50" t="str">
        <f aca="false">IF($M109="","",INDEX(Bills!$D$8:$D$507,$M109))</f>
        <v/>
      </c>
      <c r="D109" s="63" t="str">
        <f aca="false">IF($M109="","",INDEX(Bills!$C$8:$C$507,$M109)&amp;"")</f>
        <v/>
      </c>
      <c r="E109" s="54" t="str">
        <f aca="false">IF($M109="","",INDEX(Bills!$B$8:$B$507,$M109))</f>
        <v/>
      </c>
      <c r="F109" s="54" t="str">
        <f aca="false">IF($M109="","",INDEX(Bills!$H$8:$H$507,$M109))</f>
        <v/>
      </c>
      <c r="G109" s="54" t="str">
        <f aca="false">IF($M109="","",INDEX(Bills!$M$8:$M$507,$M109))</f>
        <v/>
      </c>
      <c r="H109" s="47" t="str">
        <f aca="false">IF($M109="","",INDEX(Bills!$K$8:$K$507,$M109))</f>
        <v/>
      </c>
      <c r="I109" s="64" t="str">
        <f aca="false">IF($M109="","",B109-Setup!$C$11)</f>
        <v/>
      </c>
      <c r="J109" s="46" t="str">
        <f aca="false">IF($M109="","",SUM($H$7:H109))</f>
        <v/>
      </c>
      <c r="K109" s="63" t="str">
        <f aca="false">IF($M109="","",INDEX(Bills!$N$8:$N$507,$M109))</f>
        <v/>
      </c>
      <c r="M109" s="9" t="str">
        <f aca="false">IFERROR(MATCH(SMALL(Bills!$S$8:$S$507,103),Bills!$S$8:$S$507,0),"")</f>
        <v/>
      </c>
    </row>
    <row r="110" customFormat="false" ht="15" hidden="false" customHeight="false" outlineLevel="0" collapsed="false">
      <c r="A110" s="40" t="str">
        <f aca="false">IF($M110="","",104)</f>
        <v/>
      </c>
      <c r="B110" s="62" t="str">
        <f aca="false">IF($M110="","",INT(INDEX(Bills!$S$8:$S$507,$M110)))</f>
        <v/>
      </c>
      <c r="C110" s="50" t="str">
        <f aca="false">IF($M110="","",INDEX(Bills!$D$8:$D$507,$M110))</f>
        <v/>
      </c>
      <c r="D110" s="63" t="str">
        <f aca="false">IF($M110="","",INDEX(Bills!$C$8:$C$507,$M110)&amp;"")</f>
        <v/>
      </c>
      <c r="E110" s="54" t="str">
        <f aca="false">IF($M110="","",INDEX(Bills!$B$8:$B$507,$M110))</f>
        <v/>
      </c>
      <c r="F110" s="54" t="str">
        <f aca="false">IF($M110="","",INDEX(Bills!$H$8:$H$507,$M110))</f>
        <v/>
      </c>
      <c r="G110" s="54" t="str">
        <f aca="false">IF($M110="","",INDEX(Bills!$M$8:$M$507,$M110))</f>
        <v/>
      </c>
      <c r="H110" s="47" t="str">
        <f aca="false">IF($M110="","",INDEX(Bills!$K$8:$K$507,$M110))</f>
        <v/>
      </c>
      <c r="I110" s="64" t="str">
        <f aca="false">IF($M110="","",B110-Setup!$C$11)</f>
        <v/>
      </c>
      <c r="J110" s="46" t="str">
        <f aca="false">IF($M110="","",SUM($H$7:H110))</f>
        <v/>
      </c>
      <c r="K110" s="63" t="str">
        <f aca="false">IF($M110="","",INDEX(Bills!$N$8:$N$507,$M110))</f>
        <v/>
      </c>
      <c r="M110" s="9" t="str">
        <f aca="false">IFERROR(MATCH(SMALL(Bills!$S$8:$S$507,104),Bills!$S$8:$S$507,0),"")</f>
        <v/>
      </c>
    </row>
    <row r="111" customFormat="false" ht="15" hidden="false" customHeight="false" outlineLevel="0" collapsed="false">
      <c r="A111" s="40" t="str">
        <f aca="false">IF($M111="","",105)</f>
        <v/>
      </c>
      <c r="B111" s="62" t="str">
        <f aca="false">IF($M111="","",INT(INDEX(Bills!$S$8:$S$507,$M111)))</f>
        <v/>
      </c>
      <c r="C111" s="50" t="str">
        <f aca="false">IF($M111="","",INDEX(Bills!$D$8:$D$507,$M111))</f>
        <v/>
      </c>
      <c r="D111" s="63" t="str">
        <f aca="false">IF($M111="","",INDEX(Bills!$C$8:$C$507,$M111)&amp;"")</f>
        <v/>
      </c>
      <c r="E111" s="54" t="str">
        <f aca="false">IF($M111="","",INDEX(Bills!$B$8:$B$507,$M111))</f>
        <v/>
      </c>
      <c r="F111" s="54" t="str">
        <f aca="false">IF($M111="","",INDEX(Bills!$H$8:$H$507,$M111))</f>
        <v/>
      </c>
      <c r="G111" s="54" t="str">
        <f aca="false">IF($M111="","",INDEX(Bills!$M$8:$M$507,$M111))</f>
        <v/>
      </c>
      <c r="H111" s="47" t="str">
        <f aca="false">IF($M111="","",INDEX(Bills!$K$8:$K$507,$M111))</f>
        <v/>
      </c>
      <c r="I111" s="64" t="str">
        <f aca="false">IF($M111="","",B111-Setup!$C$11)</f>
        <v/>
      </c>
      <c r="J111" s="46" t="str">
        <f aca="false">IF($M111="","",SUM($H$7:H111))</f>
        <v/>
      </c>
      <c r="K111" s="63" t="str">
        <f aca="false">IF($M111="","",INDEX(Bills!$N$8:$N$507,$M111))</f>
        <v/>
      </c>
      <c r="M111" s="9" t="str">
        <f aca="false">IFERROR(MATCH(SMALL(Bills!$S$8:$S$507,105),Bills!$S$8:$S$507,0),"")</f>
        <v/>
      </c>
    </row>
    <row r="112" customFormat="false" ht="15" hidden="false" customHeight="false" outlineLevel="0" collapsed="false">
      <c r="A112" s="40" t="str">
        <f aca="false">IF($M112="","",106)</f>
        <v/>
      </c>
      <c r="B112" s="62" t="str">
        <f aca="false">IF($M112="","",INT(INDEX(Bills!$S$8:$S$507,$M112)))</f>
        <v/>
      </c>
      <c r="C112" s="50" t="str">
        <f aca="false">IF($M112="","",INDEX(Bills!$D$8:$D$507,$M112))</f>
        <v/>
      </c>
      <c r="D112" s="63" t="str">
        <f aca="false">IF($M112="","",INDEX(Bills!$C$8:$C$507,$M112)&amp;"")</f>
        <v/>
      </c>
      <c r="E112" s="54" t="str">
        <f aca="false">IF($M112="","",INDEX(Bills!$B$8:$B$507,$M112))</f>
        <v/>
      </c>
      <c r="F112" s="54" t="str">
        <f aca="false">IF($M112="","",INDEX(Bills!$H$8:$H$507,$M112))</f>
        <v/>
      </c>
      <c r="G112" s="54" t="str">
        <f aca="false">IF($M112="","",INDEX(Bills!$M$8:$M$507,$M112))</f>
        <v/>
      </c>
      <c r="H112" s="47" t="str">
        <f aca="false">IF($M112="","",INDEX(Bills!$K$8:$K$507,$M112))</f>
        <v/>
      </c>
      <c r="I112" s="64" t="str">
        <f aca="false">IF($M112="","",B112-Setup!$C$11)</f>
        <v/>
      </c>
      <c r="J112" s="46" t="str">
        <f aca="false">IF($M112="","",SUM($H$7:H112))</f>
        <v/>
      </c>
      <c r="K112" s="63" t="str">
        <f aca="false">IF($M112="","",INDEX(Bills!$N$8:$N$507,$M112))</f>
        <v/>
      </c>
      <c r="M112" s="9" t="str">
        <f aca="false">IFERROR(MATCH(SMALL(Bills!$S$8:$S$507,106),Bills!$S$8:$S$507,0),"")</f>
        <v/>
      </c>
    </row>
    <row r="113" customFormat="false" ht="15" hidden="false" customHeight="false" outlineLevel="0" collapsed="false">
      <c r="A113" s="40" t="str">
        <f aca="false">IF($M113="","",107)</f>
        <v/>
      </c>
      <c r="B113" s="62" t="str">
        <f aca="false">IF($M113="","",INT(INDEX(Bills!$S$8:$S$507,$M113)))</f>
        <v/>
      </c>
      <c r="C113" s="50" t="str">
        <f aca="false">IF($M113="","",INDEX(Bills!$D$8:$D$507,$M113))</f>
        <v/>
      </c>
      <c r="D113" s="63" t="str">
        <f aca="false">IF($M113="","",INDEX(Bills!$C$8:$C$507,$M113)&amp;"")</f>
        <v/>
      </c>
      <c r="E113" s="54" t="str">
        <f aca="false">IF($M113="","",INDEX(Bills!$B$8:$B$507,$M113))</f>
        <v/>
      </c>
      <c r="F113" s="54" t="str">
        <f aca="false">IF($M113="","",INDEX(Bills!$H$8:$H$507,$M113))</f>
        <v/>
      </c>
      <c r="G113" s="54" t="str">
        <f aca="false">IF($M113="","",INDEX(Bills!$M$8:$M$507,$M113))</f>
        <v/>
      </c>
      <c r="H113" s="47" t="str">
        <f aca="false">IF($M113="","",INDEX(Bills!$K$8:$K$507,$M113))</f>
        <v/>
      </c>
      <c r="I113" s="64" t="str">
        <f aca="false">IF($M113="","",B113-Setup!$C$11)</f>
        <v/>
      </c>
      <c r="J113" s="46" t="str">
        <f aca="false">IF($M113="","",SUM($H$7:H113))</f>
        <v/>
      </c>
      <c r="K113" s="63" t="str">
        <f aca="false">IF($M113="","",INDEX(Bills!$N$8:$N$507,$M113))</f>
        <v/>
      </c>
      <c r="M113" s="9" t="str">
        <f aca="false">IFERROR(MATCH(SMALL(Bills!$S$8:$S$507,107),Bills!$S$8:$S$507,0),"")</f>
        <v/>
      </c>
    </row>
    <row r="114" customFormat="false" ht="15" hidden="false" customHeight="false" outlineLevel="0" collapsed="false">
      <c r="A114" s="40" t="str">
        <f aca="false">IF($M114="","",108)</f>
        <v/>
      </c>
      <c r="B114" s="62" t="str">
        <f aca="false">IF($M114="","",INT(INDEX(Bills!$S$8:$S$507,$M114)))</f>
        <v/>
      </c>
      <c r="C114" s="50" t="str">
        <f aca="false">IF($M114="","",INDEX(Bills!$D$8:$D$507,$M114))</f>
        <v/>
      </c>
      <c r="D114" s="63" t="str">
        <f aca="false">IF($M114="","",INDEX(Bills!$C$8:$C$507,$M114)&amp;"")</f>
        <v/>
      </c>
      <c r="E114" s="54" t="str">
        <f aca="false">IF($M114="","",INDEX(Bills!$B$8:$B$507,$M114))</f>
        <v/>
      </c>
      <c r="F114" s="54" t="str">
        <f aca="false">IF($M114="","",INDEX(Bills!$H$8:$H$507,$M114))</f>
        <v/>
      </c>
      <c r="G114" s="54" t="str">
        <f aca="false">IF($M114="","",INDEX(Bills!$M$8:$M$507,$M114))</f>
        <v/>
      </c>
      <c r="H114" s="47" t="str">
        <f aca="false">IF($M114="","",INDEX(Bills!$K$8:$K$507,$M114))</f>
        <v/>
      </c>
      <c r="I114" s="64" t="str">
        <f aca="false">IF($M114="","",B114-Setup!$C$11)</f>
        <v/>
      </c>
      <c r="J114" s="46" t="str">
        <f aca="false">IF($M114="","",SUM($H$7:H114))</f>
        <v/>
      </c>
      <c r="K114" s="63" t="str">
        <f aca="false">IF($M114="","",INDEX(Bills!$N$8:$N$507,$M114))</f>
        <v/>
      </c>
      <c r="M114" s="9" t="str">
        <f aca="false">IFERROR(MATCH(SMALL(Bills!$S$8:$S$507,108),Bills!$S$8:$S$507,0),"")</f>
        <v/>
      </c>
    </row>
    <row r="115" customFormat="false" ht="15" hidden="false" customHeight="false" outlineLevel="0" collapsed="false">
      <c r="A115" s="40" t="str">
        <f aca="false">IF($M115="","",109)</f>
        <v/>
      </c>
      <c r="B115" s="62" t="str">
        <f aca="false">IF($M115="","",INT(INDEX(Bills!$S$8:$S$507,$M115)))</f>
        <v/>
      </c>
      <c r="C115" s="50" t="str">
        <f aca="false">IF($M115="","",INDEX(Bills!$D$8:$D$507,$M115))</f>
        <v/>
      </c>
      <c r="D115" s="63" t="str">
        <f aca="false">IF($M115="","",INDEX(Bills!$C$8:$C$507,$M115)&amp;"")</f>
        <v/>
      </c>
      <c r="E115" s="54" t="str">
        <f aca="false">IF($M115="","",INDEX(Bills!$B$8:$B$507,$M115))</f>
        <v/>
      </c>
      <c r="F115" s="54" t="str">
        <f aca="false">IF($M115="","",INDEX(Bills!$H$8:$H$507,$M115))</f>
        <v/>
      </c>
      <c r="G115" s="54" t="str">
        <f aca="false">IF($M115="","",INDEX(Bills!$M$8:$M$507,$M115))</f>
        <v/>
      </c>
      <c r="H115" s="47" t="str">
        <f aca="false">IF($M115="","",INDEX(Bills!$K$8:$K$507,$M115))</f>
        <v/>
      </c>
      <c r="I115" s="64" t="str">
        <f aca="false">IF($M115="","",B115-Setup!$C$11)</f>
        <v/>
      </c>
      <c r="J115" s="46" t="str">
        <f aca="false">IF($M115="","",SUM($H$7:H115))</f>
        <v/>
      </c>
      <c r="K115" s="63" t="str">
        <f aca="false">IF($M115="","",INDEX(Bills!$N$8:$N$507,$M115))</f>
        <v/>
      </c>
      <c r="M115" s="9" t="str">
        <f aca="false">IFERROR(MATCH(SMALL(Bills!$S$8:$S$507,109),Bills!$S$8:$S$507,0),"")</f>
        <v/>
      </c>
    </row>
    <row r="116" customFormat="false" ht="15" hidden="false" customHeight="false" outlineLevel="0" collapsed="false">
      <c r="A116" s="40" t="str">
        <f aca="false">IF($M116="","",110)</f>
        <v/>
      </c>
      <c r="B116" s="62" t="str">
        <f aca="false">IF($M116="","",INT(INDEX(Bills!$S$8:$S$507,$M116)))</f>
        <v/>
      </c>
      <c r="C116" s="50" t="str">
        <f aca="false">IF($M116="","",INDEX(Bills!$D$8:$D$507,$M116))</f>
        <v/>
      </c>
      <c r="D116" s="63" t="str">
        <f aca="false">IF($M116="","",INDEX(Bills!$C$8:$C$507,$M116)&amp;"")</f>
        <v/>
      </c>
      <c r="E116" s="54" t="str">
        <f aca="false">IF($M116="","",INDEX(Bills!$B$8:$B$507,$M116))</f>
        <v/>
      </c>
      <c r="F116" s="54" t="str">
        <f aca="false">IF($M116="","",INDEX(Bills!$H$8:$H$507,$M116))</f>
        <v/>
      </c>
      <c r="G116" s="54" t="str">
        <f aca="false">IF($M116="","",INDEX(Bills!$M$8:$M$507,$M116))</f>
        <v/>
      </c>
      <c r="H116" s="47" t="str">
        <f aca="false">IF($M116="","",INDEX(Bills!$K$8:$K$507,$M116))</f>
        <v/>
      </c>
      <c r="I116" s="64" t="str">
        <f aca="false">IF($M116="","",B116-Setup!$C$11)</f>
        <v/>
      </c>
      <c r="J116" s="46" t="str">
        <f aca="false">IF($M116="","",SUM($H$7:H116))</f>
        <v/>
      </c>
      <c r="K116" s="63" t="str">
        <f aca="false">IF($M116="","",INDEX(Bills!$N$8:$N$507,$M116))</f>
        <v/>
      </c>
      <c r="M116" s="9" t="str">
        <f aca="false">IFERROR(MATCH(SMALL(Bills!$S$8:$S$507,110),Bills!$S$8:$S$507,0),"")</f>
        <v/>
      </c>
    </row>
    <row r="117" customFormat="false" ht="15" hidden="false" customHeight="false" outlineLevel="0" collapsed="false">
      <c r="A117" s="40" t="str">
        <f aca="false">IF($M117="","",111)</f>
        <v/>
      </c>
      <c r="B117" s="62" t="str">
        <f aca="false">IF($M117="","",INT(INDEX(Bills!$S$8:$S$507,$M117)))</f>
        <v/>
      </c>
      <c r="C117" s="50" t="str">
        <f aca="false">IF($M117="","",INDEX(Bills!$D$8:$D$507,$M117))</f>
        <v/>
      </c>
      <c r="D117" s="63" t="str">
        <f aca="false">IF($M117="","",INDEX(Bills!$C$8:$C$507,$M117)&amp;"")</f>
        <v/>
      </c>
      <c r="E117" s="54" t="str">
        <f aca="false">IF($M117="","",INDEX(Bills!$B$8:$B$507,$M117))</f>
        <v/>
      </c>
      <c r="F117" s="54" t="str">
        <f aca="false">IF($M117="","",INDEX(Bills!$H$8:$H$507,$M117))</f>
        <v/>
      </c>
      <c r="G117" s="54" t="str">
        <f aca="false">IF($M117="","",INDEX(Bills!$M$8:$M$507,$M117))</f>
        <v/>
      </c>
      <c r="H117" s="47" t="str">
        <f aca="false">IF($M117="","",INDEX(Bills!$K$8:$K$507,$M117))</f>
        <v/>
      </c>
      <c r="I117" s="64" t="str">
        <f aca="false">IF($M117="","",B117-Setup!$C$11)</f>
        <v/>
      </c>
      <c r="J117" s="46" t="str">
        <f aca="false">IF($M117="","",SUM($H$7:H117))</f>
        <v/>
      </c>
      <c r="K117" s="63" t="str">
        <f aca="false">IF($M117="","",INDEX(Bills!$N$8:$N$507,$M117))</f>
        <v/>
      </c>
      <c r="M117" s="9" t="str">
        <f aca="false">IFERROR(MATCH(SMALL(Bills!$S$8:$S$507,111),Bills!$S$8:$S$507,0),"")</f>
        <v/>
      </c>
    </row>
    <row r="118" customFormat="false" ht="15" hidden="false" customHeight="false" outlineLevel="0" collapsed="false">
      <c r="A118" s="40" t="str">
        <f aca="false">IF($M118="","",112)</f>
        <v/>
      </c>
      <c r="B118" s="62" t="str">
        <f aca="false">IF($M118="","",INT(INDEX(Bills!$S$8:$S$507,$M118)))</f>
        <v/>
      </c>
      <c r="C118" s="50" t="str">
        <f aca="false">IF($M118="","",INDEX(Bills!$D$8:$D$507,$M118))</f>
        <v/>
      </c>
      <c r="D118" s="63" t="str">
        <f aca="false">IF($M118="","",INDEX(Bills!$C$8:$C$507,$M118)&amp;"")</f>
        <v/>
      </c>
      <c r="E118" s="54" t="str">
        <f aca="false">IF($M118="","",INDEX(Bills!$B$8:$B$507,$M118))</f>
        <v/>
      </c>
      <c r="F118" s="54" t="str">
        <f aca="false">IF($M118="","",INDEX(Bills!$H$8:$H$507,$M118))</f>
        <v/>
      </c>
      <c r="G118" s="54" t="str">
        <f aca="false">IF($M118="","",INDEX(Bills!$M$8:$M$507,$M118))</f>
        <v/>
      </c>
      <c r="H118" s="47" t="str">
        <f aca="false">IF($M118="","",INDEX(Bills!$K$8:$K$507,$M118))</f>
        <v/>
      </c>
      <c r="I118" s="64" t="str">
        <f aca="false">IF($M118="","",B118-Setup!$C$11)</f>
        <v/>
      </c>
      <c r="J118" s="46" t="str">
        <f aca="false">IF($M118="","",SUM($H$7:H118))</f>
        <v/>
      </c>
      <c r="K118" s="63" t="str">
        <f aca="false">IF($M118="","",INDEX(Bills!$N$8:$N$507,$M118))</f>
        <v/>
      </c>
      <c r="M118" s="9" t="str">
        <f aca="false">IFERROR(MATCH(SMALL(Bills!$S$8:$S$507,112),Bills!$S$8:$S$507,0),"")</f>
        <v/>
      </c>
    </row>
    <row r="119" customFormat="false" ht="15" hidden="false" customHeight="false" outlineLevel="0" collapsed="false">
      <c r="A119" s="40" t="str">
        <f aca="false">IF($M119="","",113)</f>
        <v/>
      </c>
      <c r="B119" s="62" t="str">
        <f aca="false">IF($M119="","",INT(INDEX(Bills!$S$8:$S$507,$M119)))</f>
        <v/>
      </c>
      <c r="C119" s="50" t="str">
        <f aca="false">IF($M119="","",INDEX(Bills!$D$8:$D$507,$M119))</f>
        <v/>
      </c>
      <c r="D119" s="63" t="str">
        <f aca="false">IF($M119="","",INDEX(Bills!$C$8:$C$507,$M119)&amp;"")</f>
        <v/>
      </c>
      <c r="E119" s="54" t="str">
        <f aca="false">IF($M119="","",INDEX(Bills!$B$8:$B$507,$M119))</f>
        <v/>
      </c>
      <c r="F119" s="54" t="str">
        <f aca="false">IF($M119="","",INDEX(Bills!$H$8:$H$507,$M119))</f>
        <v/>
      </c>
      <c r="G119" s="54" t="str">
        <f aca="false">IF($M119="","",INDEX(Bills!$M$8:$M$507,$M119))</f>
        <v/>
      </c>
      <c r="H119" s="47" t="str">
        <f aca="false">IF($M119="","",INDEX(Bills!$K$8:$K$507,$M119))</f>
        <v/>
      </c>
      <c r="I119" s="64" t="str">
        <f aca="false">IF($M119="","",B119-Setup!$C$11)</f>
        <v/>
      </c>
      <c r="J119" s="46" t="str">
        <f aca="false">IF($M119="","",SUM($H$7:H119))</f>
        <v/>
      </c>
      <c r="K119" s="63" t="str">
        <f aca="false">IF($M119="","",INDEX(Bills!$N$8:$N$507,$M119))</f>
        <v/>
      </c>
      <c r="M119" s="9" t="str">
        <f aca="false">IFERROR(MATCH(SMALL(Bills!$S$8:$S$507,113),Bills!$S$8:$S$507,0),"")</f>
        <v/>
      </c>
    </row>
    <row r="120" customFormat="false" ht="15" hidden="false" customHeight="false" outlineLevel="0" collapsed="false">
      <c r="A120" s="40" t="str">
        <f aca="false">IF($M120="","",114)</f>
        <v/>
      </c>
      <c r="B120" s="62" t="str">
        <f aca="false">IF($M120="","",INT(INDEX(Bills!$S$8:$S$507,$M120)))</f>
        <v/>
      </c>
      <c r="C120" s="50" t="str">
        <f aca="false">IF($M120="","",INDEX(Bills!$D$8:$D$507,$M120))</f>
        <v/>
      </c>
      <c r="D120" s="63" t="str">
        <f aca="false">IF($M120="","",INDEX(Bills!$C$8:$C$507,$M120)&amp;"")</f>
        <v/>
      </c>
      <c r="E120" s="54" t="str">
        <f aca="false">IF($M120="","",INDEX(Bills!$B$8:$B$507,$M120))</f>
        <v/>
      </c>
      <c r="F120" s="54" t="str">
        <f aca="false">IF($M120="","",INDEX(Bills!$H$8:$H$507,$M120))</f>
        <v/>
      </c>
      <c r="G120" s="54" t="str">
        <f aca="false">IF($M120="","",INDEX(Bills!$M$8:$M$507,$M120))</f>
        <v/>
      </c>
      <c r="H120" s="47" t="str">
        <f aca="false">IF($M120="","",INDEX(Bills!$K$8:$K$507,$M120))</f>
        <v/>
      </c>
      <c r="I120" s="64" t="str">
        <f aca="false">IF($M120="","",B120-Setup!$C$11)</f>
        <v/>
      </c>
      <c r="J120" s="46" t="str">
        <f aca="false">IF($M120="","",SUM($H$7:H120))</f>
        <v/>
      </c>
      <c r="K120" s="63" t="str">
        <f aca="false">IF($M120="","",INDEX(Bills!$N$8:$N$507,$M120))</f>
        <v/>
      </c>
      <c r="M120" s="9" t="str">
        <f aca="false">IFERROR(MATCH(SMALL(Bills!$S$8:$S$507,114),Bills!$S$8:$S$507,0),"")</f>
        <v/>
      </c>
    </row>
    <row r="121" customFormat="false" ht="15" hidden="false" customHeight="false" outlineLevel="0" collapsed="false">
      <c r="A121" s="40" t="str">
        <f aca="false">IF($M121="","",115)</f>
        <v/>
      </c>
      <c r="B121" s="62" t="str">
        <f aca="false">IF($M121="","",INT(INDEX(Bills!$S$8:$S$507,$M121)))</f>
        <v/>
      </c>
      <c r="C121" s="50" t="str">
        <f aca="false">IF($M121="","",INDEX(Bills!$D$8:$D$507,$M121))</f>
        <v/>
      </c>
      <c r="D121" s="63" t="str">
        <f aca="false">IF($M121="","",INDEX(Bills!$C$8:$C$507,$M121)&amp;"")</f>
        <v/>
      </c>
      <c r="E121" s="54" t="str">
        <f aca="false">IF($M121="","",INDEX(Bills!$B$8:$B$507,$M121))</f>
        <v/>
      </c>
      <c r="F121" s="54" t="str">
        <f aca="false">IF($M121="","",INDEX(Bills!$H$8:$H$507,$M121))</f>
        <v/>
      </c>
      <c r="G121" s="54" t="str">
        <f aca="false">IF($M121="","",INDEX(Bills!$M$8:$M$507,$M121))</f>
        <v/>
      </c>
      <c r="H121" s="47" t="str">
        <f aca="false">IF($M121="","",INDEX(Bills!$K$8:$K$507,$M121))</f>
        <v/>
      </c>
      <c r="I121" s="64" t="str">
        <f aca="false">IF($M121="","",B121-Setup!$C$11)</f>
        <v/>
      </c>
      <c r="J121" s="46" t="str">
        <f aca="false">IF($M121="","",SUM($H$7:H121))</f>
        <v/>
      </c>
      <c r="K121" s="63" t="str">
        <f aca="false">IF($M121="","",INDEX(Bills!$N$8:$N$507,$M121))</f>
        <v/>
      </c>
      <c r="M121" s="9" t="str">
        <f aca="false">IFERROR(MATCH(SMALL(Bills!$S$8:$S$507,115),Bills!$S$8:$S$507,0),"")</f>
        <v/>
      </c>
    </row>
    <row r="122" customFormat="false" ht="15" hidden="false" customHeight="false" outlineLevel="0" collapsed="false">
      <c r="A122" s="40" t="str">
        <f aca="false">IF($M122="","",116)</f>
        <v/>
      </c>
      <c r="B122" s="62" t="str">
        <f aca="false">IF($M122="","",INT(INDEX(Bills!$S$8:$S$507,$M122)))</f>
        <v/>
      </c>
      <c r="C122" s="50" t="str">
        <f aca="false">IF($M122="","",INDEX(Bills!$D$8:$D$507,$M122))</f>
        <v/>
      </c>
      <c r="D122" s="63" t="str">
        <f aca="false">IF($M122="","",INDEX(Bills!$C$8:$C$507,$M122)&amp;"")</f>
        <v/>
      </c>
      <c r="E122" s="54" t="str">
        <f aca="false">IF($M122="","",INDEX(Bills!$B$8:$B$507,$M122))</f>
        <v/>
      </c>
      <c r="F122" s="54" t="str">
        <f aca="false">IF($M122="","",INDEX(Bills!$H$8:$H$507,$M122))</f>
        <v/>
      </c>
      <c r="G122" s="54" t="str">
        <f aca="false">IF($M122="","",INDEX(Bills!$M$8:$M$507,$M122))</f>
        <v/>
      </c>
      <c r="H122" s="47" t="str">
        <f aca="false">IF($M122="","",INDEX(Bills!$K$8:$K$507,$M122))</f>
        <v/>
      </c>
      <c r="I122" s="64" t="str">
        <f aca="false">IF($M122="","",B122-Setup!$C$11)</f>
        <v/>
      </c>
      <c r="J122" s="46" t="str">
        <f aca="false">IF($M122="","",SUM($H$7:H122))</f>
        <v/>
      </c>
      <c r="K122" s="63" t="str">
        <f aca="false">IF($M122="","",INDEX(Bills!$N$8:$N$507,$M122))</f>
        <v/>
      </c>
      <c r="M122" s="9" t="str">
        <f aca="false">IFERROR(MATCH(SMALL(Bills!$S$8:$S$507,116),Bills!$S$8:$S$507,0),"")</f>
        <v/>
      </c>
    </row>
    <row r="123" customFormat="false" ht="15" hidden="false" customHeight="false" outlineLevel="0" collapsed="false">
      <c r="A123" s="40" t="str">
        <f aca="false">IF($M123="","",117)</f>
        <v/>
      </c>
      <c r="B123" s="62" t="str">
        <f aca="false">IF($M123="","",INT(INDEX(Bills!$S$8:$S$507,$M123)))</f>
        <v/>
      </c>
      <c r="C123" s="50" t="str">
        <f aca="false">IF($M123="","",INDEX(Bills!$D$8:$D$507,$M123))</f>
        <v/>
      </c>
      <c r="D123" s="63" t="str">
        <f aca="false">IF($M123="","",INDEX(Bills!$C$8:$C$507,$M123)&amp;"")</f>
        <v/>
      </c>
      <c r="E123" s="54" t="str">
        <f aca="false">IF($M123="","",INDEX(Bills!$B$8:$B$507,$M123))</f>
        <v/>
      </c>
      <c r="F123" s="54" t="str">
        <f aca="false">IF($M123="","",INDEX(Bills!$H$8:$H$507,$M123))</f>
        <v/>
      </c>
      <c r="G123" s="54" t="str">
        <f aca="false">IF($M123="","",INDEX(Bills!$M$8:$M$507,$M123))</f>
        <v/>
      </c>
      <c r="H123" s="47" t="str">
        <f aca="false">IF($M123="","",INDEX(Bills!$K$8:$K$507,$M123))</f>
        <v/>
      </c>
      <c r="I123" s="64" t="str">
        <f aca="false">IF($M123="","",B123-Setup!$C$11)</f>
        <v/>
      </c>
      <c r="J123" s="46" t="str">
        <f aca="false">IF($M123="","",SUM($H$7:H123))</f>
        <v/>
      </c>
      <c r="K123" s="63" t="str">
        <f aca="false">IF($M123="","",INDEX(Bills!$N$8:$N$507,$M123))</f>
        <v/>
      </c>
      <c r="M123" s="9" t="str">
        <f aca="false">IFERROR(MATCH(SMALL(Bills!$S$8:$S$507,117),Bills!$S$8:$S$507,0),"")</f>
        <v/>
      </c>
    </row>
    <row r="124" customFormat="false" ht="15" hidden="false" customHeight="false" outlineLevel="0" collapsed="false">
      <c r="A124" s="40" t="str">
        <f aca="false">IF($M124="","",118)</f>
        <v/>
      </c>
      <c r="B124" s="62" t="str">
        <f aca="false">IF($M124="","",INT(INDEX(Bills!$S$8:$S$507,$M124)))</f>
        <v/>
      </c>
      <c r="C124" s="50" t="str">
        <f aca="false">IF($M124="","",INDEX(Bills!$D$8:$D$507,$M124))</f>
        <v/>
      </c>
      <c r="D124" s="63" t="str">
        <f aca="false">IF($M124="","",INDEX(Bills!$C$8:$C$507,$M124)&amp;"")</f>
        <v/>
      </c>
      <c r="E124" s="54" t="str">
        <f aca="false">IF($M124="","",INDEX(Bills!$B$8:$B$507,$M124))</f>
        <v/>
      </c>
      <c r="F124" s="54" t="str">
        <f aca="false">IF($M124="","",INDEX(Bills!$H$8:$H$507,$M124))</f>
        <v/>
      </c>
      <c r="G124" s="54" t="str">
        <f aca="false">IF($M124="","",INDEX(Bills!$M$8:$M$507,$M124))</f>
        <v/>
      </c>
      <c r="H124" s="47" t="str">
        <f aca="false">IF($M124="","",INDEX(Bills!$K$8:$K$507,$M124))</f>
        <v/>
      </c>
      <c r="I124" s="64" t="str">
        <f aca="false">IF($M124="","",B124-Setup!$C$11)</f>
        <v/>
      </c>
      <c r="J124" s="46" t="str">
        <f aca="false">IF($M124="","",SUM($H$7:H124))</f>
        <v/>
      </c>
      <c r="K124" s="63" t="str">
        <f aca="false">IF($M124="","",INDEX(Bills!$N$8:$N$507,$M124))</f>
        <v/>
      </c>
      <c r="M124" s="9" t="str">
        <f aca="false">IFERROR(MATCH(SMALL(Bills!$S$8:$S$507,118),Bills!$S$8:$S$507,0),"")</f>
        <v/>
      </c>
    </row>
    <row r="125" customFormat="false" ht="15" hidden="false" customHeight="false" outlineLevel="0" collapsed="false">
      <c r="A125" s="40" t="str">
        <f aca="false">IF($M125="","",119)</f>
        <v/>
      </c>
      <c r="B125" s="62" t="str">
        <f aca="false">IF($M125="","",INT(INDEX(Bills!$S$8:$S$507,$M125)))</f>
        <v/>
      </c>
      <c r="C125" s="50" t="str">
        <f aca="false">IF($M125="","",INDEX(Bills!$D$8:$D$507,$M125))</f>
        <v/>
      </c>
      <c r="D125" s="63" t="str">
        <f aca="false">IF($M125="","",INDEX(Bills!$C$8:$C$507,$M125)&amp;"")</f>
        <v/>
      </c>
      <c r="E125" s="54" t="str">
        <f aca="false">IF($M125="","",INDEX(Bills!$B$8:$B$507,$M125))</f>
        <v/>
      </c>
      <c r="F125" s="54" t="str">
        <f aca="false">IF($M125="","",INDEX(Bills!$H$8:$H$507,$M125))</f>
        <v/>
      </c>
      <c r="G125" s="54" t="str">
        <f aca="false">IF($M125="","",INDEX(Bills!$M$8:$M$507,$M125))</f>
        <v/>
      </c>
      <c r="H125" s="47" t="str">
        <f aca="false">IF($M125="","",INDEX(Bills!$K$8:$K$507,$M125))</f>
        <v/>
      </c>
      <c r="I125" s="64" t="str">
        <f aca="false">IF($M125="","",B125-Setup!$C$11)</f>
        <v/>
      </c>
      <c r="J125" s="46" t="str">
        <f aca="false">IF($M125="","",SUM($H$7:H125))</f>
        <v/>
      </c>
      <c r="K125" s="63" t="str">
        <f aca="false">IF($M125="","",INDEX(Bills!$N$8:$N$507,$M125))</f>
        <v/>
      </c>
      <c r="M125" s="9" t="str">
        <f aca="false">IFERROR(MATCH(SMALL(Bills!$S$8:$S$507,119),Bills!$S$8:$S$507,0),"")</f>
        <v/>
      </c>
    </row>
    <row r="126" customFormat="false" ht="15" hidden="false" customHeight="false" outlineLevel="0" collapsed="false">
      <c r="A126" s="40" t="str">
        <f aca="false">IF($M126="","",120)</f>
        <v/>
      </c>
      <c r="B126" s="62" t="str">
        <f aca="false">IF($M126="","",INT(INDEX(Bills!$S$8:$S$507,$M126)))</f>
        <v/>
      </c>
      <c r="C126" s="50" t="str">
        <f aca="false">IF($M126="","",INDEX(Bills!$D$8:$D$507,$M126))</f>
        <v/>
      </c>
      <c r="D126" s="63" t="str">
        <f aca="false">IF($M126="","",INDEX(Bills!$C$8:$C$507,$M126)&amp;"")</f>
        <v/>
      </c>
      <c r="E126" s="54" t="str">
        <f aca="false">IF($M126="","",INDEX(Bills!$B$8:$B$507,$M126))</f>
        <v/>
      </c>
      <c r="F126" s="54" t="str">
        <f aca="false">IF($M126="","",INDEX(Bills!$H$8:$H$507,$M126))</f>
        <v/>
      </c>
      <c r="G126" s="54" t="str">
        <f aca="false">IF($M126="","",INDEX(Bills!$M$8:$M$507,$M126))</f>
        <v/>
      </c>
      <c r="H126" s="47" t="str">
        <f aca="false">IF($M126="","",INDEX(Bills!$K$8:$K$507,$M126))</f>
        <v/>
      </c>
      <c r="I126" s="64" t="str">
        <f aca="false">IF($M126="","",B126-Setup!$C$11)</f>
        <v/>
      </c>
      <c r="J126" s="46" t="str">
        <f aca="false">IF($M126="","",SUM($H$7:H126))</f>
        <v/>
      </c>
      <c r="K126" s="63" t="str">
        <f aca="false">IF($M126="","",INDEX(Bills!$N$8:$N$507,$M126))</f>
        <v/>
      </c>
      <c r="M126" s="9" t="str">
        <f aca="false">IFERROR(MATCH(SMALL(Bills!$S$8:$S$507,120),Bills!$S$8:$S$507,0),"")</f>
        <v/>
      </c>
    </row>
    <row r="127" customFormat="false" ht="15" hidden="false" customHeight="false" outlineLevel="0" collapsed="false">
      <c r="A127" s="40" t="str">
        <f aca="false">IF($M127="","",121)</f>
        <v/>
      </c>
      <c r="B127" s="62" t="str">
        <f aca="false">IF($M127="","",INT(INDEX(Bills!$S$8:$S$507,$M127)))</f>
        <v/>
      </c>
      <c r="C127" s="50" t="str">
        <f aca="false">IF($M127="","",INDEX(Bills!$D$8:$D$507,$M127))</f>
        <v/>
      </c>
      <c r="D127" s="63" t="str">
        <f aca="false">IF($M127="","",INDEX(Bills!$C$8:$C$507,$M127)&amp;"")</f>
        <v/>
      </c>
      <c r="E127" s="54" t="str">
        <f aca="false">IF($M127="","",INDEX(Bills!$B$8:$B$507,$M127))</f>
        <v/>
      </c>
      <c r="F127" s="54" t="str">
        <f aca="false">IF($M127="","",INDEX(Bills!$H$8:$H$507,$M127))</f>
        <v/>
      </c>
      <c r="G127" s="54" t="str">
        <f aca="false">IF($M127="","",INDEX(Bills!$M$8:$M$507,$M127))</f>
        <v/>
      </c>
      <c r="H127" s="47" t="str">
        <f aca="false">IF($M127="","",INDEX(Bills!$K$8:$K$507,$M127))</f>
        <v/>
      </c>
      <c r="I127" s="64" t="str">
        <f aca="false">IF($M127="","",B127-Setup!$C$11)</f>
        <v/>
      </c>
      <c r="J127" s="46" t="str">
        <f aca="false">IF($M127="","",SUM($H$7:H127))</f>
        <v/>
      </c>
      <c r="K127" s="63" t="str">
        <f aca="false">IF($M127="","",INDEX(Bills!$N$8:$N$507,$M127))</f>
        <v/>
      </c>
      <c r="M127" s="9" t="str">
        <f aca="false">IFERROR(MATCH(SMALL(Bills!$S$8:$S$507,121),Bills!$S$8:$S$507,0),"")</f>
        <v/>
      </c>
    </row>
    <row r="128" customFormat="false" ht="15" hidden="false" customHeight="false" outlineLevel="0" collapsed="false">
      <c r="A128" s="40" t="str">
        <f aca="false">IF($M128="","",122)</f>
        <v/>
      </c>
      <c r="B128" s="62" t="str">
        <f aca="false">IF($M128="","",INT(INDEX(Bills!$S$8:$S$507,$M128)))</f>
        <v/>
      </c>
      <c r="C128" s="50" t="str">
        <f aca="false">IF($M128="","",INDEX(Bills!$D$8:$D$507,$M128))</f>
        <v/>
      </c>
      <c r="D128" s="63" t="str">
        <f aca="false">IF($M128="","",INDEX(Bills!$C$8:$C$507,$M128)&amp;"")</f>
        <v/>
      </c>
      <c r="E128" s="54" t="str">
        <f aca="false">IF($M128="","",INDEX(Bills!$B$8:$B$507,$M128))</f>
        <v/>
      </c>
      <c r="F128" s="54" t="str">
        <f aca="false">IF($M128="","",INDEX(Bills!$H$8:$H$507,$M128))</f>
        <v/>
      </c>
      <c r="G128" s="54" t="str">
        <f aca="false">IF($M128="","",INDEX(Bills!$M$8:$M$507,$M128))</f>
        <v/>
      </c>
      <c r="H128" s="47" t="str">
        <f aca="false">IF($M128="","",INDEX(Bills!$K$8:$K$507,$M128))</f>
        <v/>
      </c>
      <c r="I128" s="64" t="str">
        <f aca="false">IF($M128="","",B128-Setup!$C$11)</f>
        <v/>
      </c>
      <c r="J128" s="46" t="str">
        <f aca="false">IF($M128="","",SUM($H$7:H128))</f>
        <v/>
      </c>
      <c r="K128" s="63" t="str">
        <f aca="false">IF($M128="","",INDEX(Bills!$N$8:$N$507,$M128))</f>
        <v/>
      </c>
      <c r="M128" s="9" t="str">
        <f aca="false">IFERROR(MATCH(SMALL(Bills!$S$8:$S$507,122),Bills!$S$8:$S$507,0),"")</f>
        <v/>
      </c>
    </row>
    <row r="129" customFormat="false" ht="15" hidden="false" customHeight="false" outlineLevel="0" collapsed="false">
      <c r="A129" s="40" t="str">
        <f aca="false">IF($M129="","",123)</f>
        <v/>
      </c>
      <c r="B129" s="62" t="str">
        <f aca="false">IF($M129="","",INT(INDEX(Bills!$S$8:$S$507,$M129)))</f>
        <v/>
      </c>
      <c r="C129" s="50" t="str">
        <f aca="false">IF($M129="","",INDEX(Bills!$D$8:$D$507,$M129))</f>
        <v/>
      </c>
      <c r="D129" s="63" t="str">
        <f aca="false">IF($M129="","",INDEX(Bills!$C$8:$C$507,$M129)&amp;"")</f>
        <v/>
      </c>
      <c r="E129" s="54" t="str">
        <f aca="false">IF($M129="","",INDEX(Bills!$B$8:$B$507,$M129))</f>
        <v/>
      </c>
      <c r="F129" s="54" t="str">
        <f aca="false">IF($M129="","",INDEX(Bills!$H$8:$H$507,$M129))</f>
        <v/>
      </c>
      <c r="G129" s="54" t="str">
        <f aca="false">IF($M129="","",INDEX(Bills!$M$8:$M$507,$M129))</f>
        <v/>
      </c>
      <c r="H129" s="47" t="str">
        <f aca="false">IF($M129="","",INDEX(Bills!$K$8:$K$507,$M129))</f>
        <v/>
      </c>
      <c r="I129" s="64" t="str">
        <f aca="false">IF($M129="","",B129-Setup!$C$11)</f>
        <v/>
      </c>
      <c r="J129" s="46" t="str">
        <f aca="false">IF($M129="","",SUM($H$7:H129))</f>
        <v/>
      </c>
      <c r="K129" s="63" t="str">
        <f aca="false">IF($M129="","",INDEX(Bills!$N$8:$N$507,$M129))</f>
        <v/>
      </c>
      <c r="M129" s="9" t="str">
        <f aca="false">IFERROR(MATCH(SMALL(Bills!$S$8:$S$507,123),Bills!$S$8:$S$507,0),"")</f>
        <v/>
      </c>
    </row>
    <row r="130" customFormat="false" ht="15" hidden="false" customHeight="false" outlineLevel="0" collapsed="false">
      <c r="A130" s="40" t="str">
        <f aca="false">IF($M130="","",124)</f>
        <v/>
      </c>
      <c r="B130" s="62" t="str">
        <f aca="false">IF($M130="","",INT(INDEX(Bills!$S$8:$S$507,$M130)))</f>
        <v/>
      </c>
      <c r="C130" s="50" t="str">
        <f aca="false">IF($M130="","",INDEX(Bills!$D$8:$D$507,$M130))</f>
        <v/>
      </c>
      <c r="D130" s="63" t="str">
        <f aca="false">IF($M130="","",INDEX(Bills!$C$8:$C$507,$M130)&amp;"")</f>
        <v/>
      </c>
      <c r="E130" s="54" t="str">
        <f aca="false">IF($M130="","",INDEX(Bills!$B$8:$B$507,$M130))</f>
        <v/>
      </c>
      <c r="F130" s="54" t="str">
        <f aca="false">IF($M130="","",INDEX(Bills!$H$8:$H$507,$M130))</f>
        <v/>
      </c>
      <c r="G130" s="54" t="str">
        <f aca="false">IF($M130="","",INDEX(Bills!$M$8:$M$507,$M130))</f>
        <v/>
      </c>
      <c r="H130" s="47" t="str">
        <f aca="false">IF($M130="","",INDEX(Bills!$K$8:$K$507,$M130))</f>
        <v/>
      </c>
      <c r="I130" s="64" t="str">
        <f aca="false">IF($M130="","",B130-Setup!$C$11)</f>
        <v/>
      </c>
      <c r="J130" s="46" t="str">
        <f aca="false">IF($M130="","",SUM($H$7:H130))</f>
        <v/>
      </c>
      <c r="K130" s="63" t="str">
        <f aca="false">IF($M130="","",INDEX(Bills!$N$8:$N$507,$M130))</f>
        <v/>
      </c>
      <c r="M130" s="9" t="str">
        <f aca="false">IFERROR(MATCH(SMALL(Bills!$S$8:$S$507,124),Bills!$S$8:$S$507,0),"")</f>
        <v/>
      </c>
    </row>
    <row r="131" customFormat="false" ht="15" hidden="false" customHeight="false" outlineLevel="0" collapsed="false">
      <c r="A131" s="40" t="str">
        <f aca="false">IF($M131="","",125)</f>
        <v/>
      </c>
      <c r="B131" s="62" t="str">
        <f aca="false">IF($M131="","",INT(INDEX(Bills!$S$8:$S$507,$M131)))</f>
        <v/>
      </c>
      <c r="C131" s="50" t="str">
        <f aca="false">IF($M131="","",INDEX(Bills!$D$8:$D$507,$M131))</f>
        <v/>
      </c>
      <c r="D131" s="63" t="str">
        <f aca="false">IF($M131="","",INDEX(Bills!$C$8:$C$507,$M131)&amp;"")</f>
        <v/>
      </c>
      <c r="E131" s="54" t="str">
        <f aca="false">IF($M131="","",INDEX(Bills!$B$8:$B$507,$M131))</f>
        <v/>
      </c>
      <c r="F131" s="54" t="str">
        <f aca="false">IF($M131="","",INDEX(Bills!$H$8:$H$507,$M131))</f>
        <v/>
      </c>
      <c r="G131" s="54" t="str">
        <f aca="false">IF($M131="","",INDEX(Bills!$M$8:$M$507,$M131))</f>
        <v/>
      </c>
      <c r="H131" s="47" t="str">
        <f aca="false">IF($M131="","",INDEX(Bills!$K$8:$K$507,$M131))</f>
        <v/>
      </c>
      <c r="I131" s="64" t="str">
        <f aca="false">IF($M131="","",B131-Setup!$C$11)</f>
        <v/>
      </c>
      <c r="J131" s="46" t="str">
        <f aca="false">IF($M131="","",SUM($H$7:H131))</f>
        <v/>
      </c>
      <c r="K131" s="63" t="str">
        <f aca="false">IF($M131="","",INDEX(Bills!$N$8:$N$507,$M131))</f>
        <v/>
      </c>
      <c r="M131" s="9" t="str">
        <f aca="false">IFERROR(MATCH(SMALL(Bills!$S$8:$S$507,125),Bills!$S$8:$S$507,0),"")</f>
        <v/>
      </c>
    </row>
    <row r="132" customFormat="false" ht="15" hidden="false" customHeight="false" outlineLevel="0" collapsed="false">
      <c r="A132" s="40" t="str">
        <f aca="false">IF($M132="","",126)</f>
        <v/>
      </c>
      <c r="B132" s="62" t="str">
        <f aca="false">IF($M132="","",INT(INDEX(Bills!$S$8:$S$507,$M132)))</f>
        <v/>
      </c>
      <c r="C132" s="50" t="str">
        <f aca="false">IF($M132="","",INDEX(Bills!$D$8:$D$507,$M132))</f>
        <v/>
      </c>
      <c r="D132" s="63" t="str">
        <f aca="false">IF($M132="","",INDEX(Bills!$C$8:$C$507,$M132)&amp;"")</f>
        <v/>
      </c>
      <c r="E132" s="54" t="str">
        <f aca="false">IF($M132="","",INDEX(Bills!$B$8:$B$507,$M132))</f>
        <v/>
      </c>
      <c r="F132" s="54" t="str">
        <f aca="false">IF($M132="","",INDEX(Bills!$H$8:$H$507,$M132))</f>
        <v/>
      </c>
      <c r="G132" s="54" t="str">
        <f aca="false">IF($M132="","",INDEX(Bills!$M$8:$M$507,$M132))</f>
        <v/>
      </c>
      <c r="H132" s="47" t="str">
        <f aca="false">IF($M132="","",INDEX(Bills!$K$8:$K$507,$M132))</f>
        <v/>
      </c>
      <c r="I132" s="64" t="str">
        <f aca="false">IF($M132="","",B132-Setup!$C$11)</f>
        <v/>
      </c>
      <c r="J132" s="46" t="str">
        <f aca="false">IF($M132="","",SUM($H$7:H132))</f>
        <v/>
      </c>
      <c r="K132" s="63" t="str">
        <f aca="false">IF($M132="","",INDEX(Bills!$N$8:$N$507,$M132))</f>
        <v/>
      </c>
      <c r="M132" s="9" t="str">
        <f aca="false">IFERROR(MATCH(SMALL(Bills!$S$8:$S$507,126),Bills!$S$8:$S$507,0),"")</f>
        <v/>
      </c>
    </row>
    <row r="133" customFormat="false" ht="15" hidden="false" customHeight="false" outlineLevel="0" collapsed="false">
      <c r="A133" s="40" t="str">
        <f aca="false">IF($M133="","",127)</f>
        <v/>
      </c>
      <c r="B133" s="62" t="str">
        <f aca="false">IF($M133="","",INT(INDEX(Bills!$S$8:$S$507,$M133)))</f>
        <v/>
      </c>
      <c r="C133" s="50" t="str">
        <f aca="false">IF($M133="","",INDEX(Bills!$D$8:$D$507,$M133))</f>
        <v/>
      </c>
      <c r="D133" s="63" t="str">
        <f aca="false">IF($M133="","",INDEX(Bills!$C$8:$C$507,$M133)&amp;"")</f>
        <v/>
      </c>
      <c r="E133" s="54" t="str">
        <f aca="false">IF($M133="","",INDEX(Bills!$B$8:$B$507,$M133))</f>
        <v/>
      </c>
      <c r="F133" s="54" t="str">
        <f aca="false">IF($M133="","",INDEX(Bills!$H$8:$H$507,$M133))</f>
        <v/>
      </c>
      <c r="G133" s="54" t="str">
        <f aca="false">IF($M133="","",INDEX(Bills!$M$8:$M$507,$M133))</f>
        <v/>
      </c>
      <c r="H133" s="47" t="str">
        <f aca="false">IF($M133="","",INDEX(Bills!$K$8:$K$507,$M133))</f>
        <v/>
      </c>
      <c r="I133" s="64" t="str">
        <f aca="false">IF($M133="","",B133-Setup!$C$11)</f>
        <v/>
      </c>
      <c r="J133" s="46" t="str">
        <f aca="false">IF($M133="","",SUM($H$7:H133))</f>
        <v/>
      </c>
      <c r="K133" s="63" t="str">
        <f aca="false">IF($M133="","",INDEX(Bills!$N$8:$N$507,$M133))</f>
        <v/>
      </c>
      <c r="M133" s="9" t="str">
        <f aca="false">IFERROR(MATCH(SMALL(Bills!$S$8:$S$507,127),Bills!$S$8:$S$507,0),"")</f>
        <v/>
      </c>
    </row>
    <row r="134" customFormat="false" ht="15" hidden="false" customHeight="false" outlineLevel="0" collapsed="false">
      <c r="A134" s="40" t="str">
        <f aca="false">IF($M134="","",128)</f>
        <v/>
      </c>
      <c r="B134" s="62" t="str">
        <f aca="false">IF($M134="","",INT(INDEX(Bills!$S$8:$S$507,$M134)))</f>
        <v/>
      </c>
      <c r="C134" s="50" t="str">
        <f aca="false">IF($M134="","",INDEX(Bills!$D$8:$D$507,$M134))</f>
        <v/>
      </c>
      <c r="D134" s="63" t="str">
        <f aca="false">IF($M134="","",INDEX(Bills!$C$8:$C$507,$M134)&amp;"")</f>
        <v/>
      </c>
      <c r="E134" s="54" t="str">
        <f aca="false">IF($M134="","",INDEX(Bills!$B$8:$B$507,$M134))</f>
        <v/>
      </c>
      <c r="F134" s="54" t="str">
        <f aca="false">IF($M134="","",INDEX(Bills!$H$8:$H$507,$M134))</f>
        <v/>
      </c>
      <c r="G134" s="54" t="str">
        <f aca="false">IF($M134="","",INDEX(Bills!$M$8:$M$507,$M134))</f>
        <v/>
      </c>
      <c r="H134" s="47" t="str">
        <f aca="false">IF($M134="","",INDEX(Bills!$K$8:$K$507,$M134))</f>
        <v/>
      </c>
      <c r="I134" s="64" t="str">
        <f aca="false">IF($M134="","",B134-Setup!$C$11)</f>
        <v/>
      </c>
      <c r="J134" s="46" t="str">
        <f aca="false">IF($M134="","",SUM($H$7:H134))</f>
        <v/>
      </c>
      <c r="K134" s="63" t="str">
        <f aca="false">IF($M134="","",INDEX(Bills!$N$8:$N$507,$M134))</f>
        <v/>
      </c>
      <c r="M134" s="9" t="str">
        <f aca="false">IFERROR(MATCH(SMALL(Bills!$S$8:$S$507,128),Bills!$S$8:$S$507,0),"")</f>
        <v/>
      </c>
    </row>
    <row r="135" customFormat="false" ht="15" hidden="false" customHeight="false" outlineLevel="0" collapsed="false">
      <c r="A135" s="40" t="str">
        <f aca="false">IF($M135="","",129)</f>
        <v/>
      </c>
      <c r="B135" s="62" t="str">
        <f aca="false">IF($M135="","",INT(INDEX(Bills!$S$8:$S$507,$M135)))</f>
        <v/>
      </c>
      <c r="C135" s="50" t="str">
        <f aca="false">IF($M135="","",INDEX(Bills!$D$8:$D$507,$M135))</f>
        <v/>
      </c>
      <c r="D135" s="63" t="str">
        <f aca="false">IF($M135="","",INDEX(Bills!$C$8:$C$507,$M135)&amp;"")</f>
        <v/>
      </c>
      <c r="E135" s="54" t="str">
        <f aca="false">IF($M135="","",INDEX(Bills!$B$8:$B$507,$M135))</f>
        <v/>
      </c>
      <c r="F135" s="54" t="str">
        <f aca="false">IF($M135="","",INDEX(Bills!$H$8:$H$507,$M135))</f>
        <v/>
      </c>
      <c r="G135" s="54" t="str">
        <f aca="false">IF($M135="","",INDEX(Bills!$M$8:$M$507,$M135))</f>
        <v/>
      </c>
      <c r="H135" s="47" t="str">
        <f aca="false">IF($M135="","",INDEX(Bills!$K$8:$K$507,$M135))</f>
        <v/>
      </c>
      <c r="I135" s="64" t="str">
        <f aca="false">IF($M135="","",B135-Setup!$C$11)</f>
        <v/>
      </c>
      <c r="J135" s="46" t="str">
        <f aca="false">IF($M135="","",SUM($H$7:H135))</f>
        <v/>
      </c>
      <c r="K135" s="63" t="str">
        <f aca="false">IF($M135="","",INDEX(Bills!$N$8:$N$507,$M135))</f>
        <v/>
      </c>
      <c r="M135" s="9" t="str">
        <f aca="false">IFERROR(MATCH(SMALL(Bills!$S$8:$S$507,129),Bills!$S$8:$S$507,0),"")</f>
        <v/>
      </c>
    </row>
    <row r="136" customFormat="false" ht="15" hidden="false" customHeight="false" outlineLevel="0" collapsed="false">
      <c r="A136" s="40" t="str">
        <f aca="false">IF($M136="","",130)</f>
        <v/>
      </c>
      <c r="B136" s="62" t="str">
        <f aca="false">IF($M136="","",INT(INDEX(Bills!$S$8:$S$507,$M136)))</f>
        <v/>
      </c>
      <c r="C136" s="50" t="str">
        <f aca="false">IF($M136="","",INDEX(Bills!$D$8:$D$507,$M136))</f>
        <v/>
      </c>
      <c r="D136" s="63" t="str">
        <f aca="false">IF($M136="","",INDEX(Bills!$C$8:$C$507,$M136)&amp;"")</f>
        <v/>
      </c>
      <c r="E136" s="54" t="str">
        <f aca="false">IF($M136="","",INDEX(Bills!$B$8:$B$507,$M136))</f>
        <v/>
      </c>
      <c r="F136" s="54" t="str">
        <f aca="false">IF($M136="","",INDEX(Bills!$H$8:$H$507,$M136))</f>
        <v/>
      </c>
      <c r="G136" s="54" t="str">
        <f aca="false">IF($M136="","",INDEX(Bills!$M$8:$M$507,$M136))</f>
        <v/>
      </c>
      <c r="H136" s="47" t="str">
        <f aca="false">IF($M136="","",INDEX(Bills!$K$8:$K$507,$M136))</f>
        <v/>
      </c>
      <c r="I136" s="64" t="str">
        <f aca="false">IF($M136="","",B136-Setup!$C$11)</f>
        <v/>
      </c>
      <c r="J136" s="46" t="str">
        <f aca="false">IF($M136="","",SUM($H$7:H136))</f>
        <v/>
      </c>
      <c r="K136" s="63" t="str">
        <f aca="false">IF($M136="","",INDEX(Bills!$N$8:$N$507,$M136))</f>
        <v/>
      </c>
      <c r="M136" s="9" t="str">
        <f aca="false">IFERROR(MATCH(SMALL(Bills!$S$8:$S$507,130),Bills!$S$8:$S$507,0),"")</f>
        <v/>
      </c>
    </row>
    <row r="137" customFormat="false" ht="15" hidden="false" customHeight="false" outlineLevel="0" collapsed="false">
      <c r="A137" s="40" t="str">
        <f aca="false">IF($M137="","",131)</f>
        <v/>
      </c>
      <c r="B137" s="62" t="str">
        <f aca="false">IF($M137="","",INT(INDEX(Bills!$S$8:$S$507,$M137)))</f>
        <v/>
      </c>
      <c r="C137" s="50" t="str">
        <f aca="false">IF($M137="","",INDEX(Bills!$D$8:$D$507,$M137))</f>
        <v/>
      </c>
      <c r="D137" s="63" t="str">
        <f aca="false">IF($M137="","",INDEX(Bills!$C$8:$C$507,$M137)&amp;"")</f>
        <v/>
      </c>
      <c r="E137" s="54" t="str">
        <f aca="false">IF($M137="","",INDEX(Bills!$B$8:$B$507,$M137))</f>
        <v/>
      </c>
      <c r="F137" s="54" t="str">
        <f aca="false">IF($M137="","",INDEX(Bills!$H$8:$H$507,$M137))</f>
        <v/>
      </c>
      <c r="G137" s="54" t="str">
        <f aca="false">IF($M137="","",INDEX(Bills!$M$8:$M$507,$M137))</f>
        <v/>
      </c>
      <c r="H137" s="47" t="str">
        <f aca="false">IF($M137="","",INDEX(Bills!$K$8:$K$507,$M137))</f>
        <v/>
      </c>
      <c r="I137" s="64" t="str">
        <f aca="false">IF($M137="","",B137-Setup!$C$11)</f>
        <v/>
      </c>
      <c r="J137" s="46" t="str">
        <f aca="false">IF($M137="","",SUM($H$7:H137))</f>
        <v/>
      </c>
      <c r="K137" s="63" t="str">
        <f aca="false">IF($M137="","",INDEX(Bills!$N$8:$N$507,$M137))</f>
        <v/>
      </c>
      <c r="M137" s="9" t="str">
        <f aca="false">IFERROR(MATCH(SMALL(Bills!$S$8:$S$507,131),Bills!$S$8:$S$507,0),"")</f>
        <v/>
      </c>
    </row>
    <row r="138" customFormat="false" ht="15" hidden="false" customHeight="false" outlineLevel="0" collapsed="false">
      <c r="A138" s="40" t="str">
        <f aca="false">IF($M138="","",132)</f>
        <v/>
      </c>
      <c r="B138" s="62" t="str">
        <f aca="false">IF($M138="","",INT(INDEX(Bills!$S$8:$S$507,$M138)))</f>
        <v/>
      </c>
      <c r="C138" s="50" t="str">
        <f aca="false">IF($M138="","",INDEX(Bills!$D$8:$D$507,$M138))</f>
        <v/>
      </c>
      <c r="D138" s="63" t="str">
        <f aca="false">IF($M138="","",INDEX(Bills!$C$8:$C$507,$M138)&amp;"")</f>
        <v/>
      </c>
      <c r="E138" s="54" t="str">
        <f aca="false">IF($M138="","",INDEX(Bills!$B$8:$B$507,$M138))</f>
        <v/>
      </c>
      <c r="F138" s="54" t="str">
        <f aca="false">IF($M138="","",INDEX(Bills!$H$8:$H$507,$M138))</f>
        <v/>
      </c>
      <c r="G138" s="54" t="str">
        <f aca="false">IF($M138="","",INDEX(Bills!$M$8:$M$507,$M138))</f>
        <v/>
      </c>
      <c r="H138" s="47" t="str">
        <f aca="false">IF($M138="","",INDEX(Bills!$K$8:$K$507,$M138))</f>
        <v/>
      </c>
      <c r="I138" s="64" t="str">
        <f aca="false">IF($M138="","",B138-Setup!$C$11)</f>
        <v/>
      </c>
      <c r="J138" s="46" t="str">
        <f aca="false">IF($M138="","",SUM($H$7:H138))</f>
        <v/>
      </c>
      <c r="K138" s="63" t="str">
        <f aca="false">IF($M138="","",INDEX(Bills!$N$8:$N$507,$M138))</f>
        <v/>
      </c>
      <c r="M138" s="9" t="str">
        <f aca="false">IFERROR(MATCH(SMALL(Bills!$S$8:$S$507,132),Bills!$S$8:$S$507,0),"")</f>
        <v/>
      </c>
    </row>
    <row r="139" customFormat="false" ht="15" hidden="false" customHeight="false" outlineLevel="0" collapsed="false">
      <c r="A139" s="40" t="str">
        <f aca="false">IF($M139="","",133)</f>
        <v/>
      </c>
      <c r="B139" s="62" t="str">
        <f aca="false">IF($M139="","",INT(INDEX(Bills!$S$8:$S$507,$M139)))</f>
        <v/>
      </c>
      <c r="C139" s="50" t="str">
        <f aca="false">IF($M139="","",INDEX(Bills!$D$8:$D$507,$M139))</f>
        <v/>
      </c>
      <c r="D139" s="63" t="str">
        <f aca="false">IF($M139="","",INDEX(Bills!$C$8:$C$507,$M139)&amp;"")</f>
        <v/>
      </c>
      <c r="E139" s="54" t="str">
        <f aca="false">IF($M139="","",INDEX(Bills!$B$8:$B$507,$M139))</f>
        <v/>
      </c>
      <c r="F139" s="54" t="str">
        <f aca="false">IF($M139="","",INDEX(Bills!$H$8:$H$507,$M139))</f>
        <v/>
      </c>
      <c r="G139" s="54" t="str">
        <f aca="false">IF($M139="","",INDEX(Bills!$M$8:$M$507,$M139))</f>
        <v/>
      </c>
      <c r="H139" s="47" t="str">
        <f aca="false">IF($M139="","",INDEX(Bills!$K$8:$K$507,$M139))</f>
        <v/>
      </c>
      <c r="I139" s="64" t="str">
        <f aca="false">IF($M139="","",B139-Setup!$C$11)</f>
        <v/>
      </c>
      <c r="J139" s="46" t="str">
        <f aca="false">IF($M139="","",SUM($H$7:H139))</f>
        <v/>
      </c>
      <c r="K139" s="63" t="str">
        <f aca="false">IF($M139="","",INDEX(Bills!$N$8:$N$507,$M139))</f>
        <v/>
      </c>
      <c r="M139" s="9" t="str">
        <f aca="false">IFERROR(MATCH(SMALL(Bills!$S$8:$S$507,133),Bills!$S$8:$S$507,0),"")</f>
        <v/>
      </c>
    </row>
    <row r="140" customFormat="false" ht="15" hidden="false" customHeight="false" outlineLevel="0" collapsed="false">
      <c r="A140" s="40" t="str">
        <f aca="false">IF($M140="","",134)</f>
        <v/>
      </c>
      <c r="B140" s="62" t="str">
        <f aca="false">IF($M140="","",INT(INDEX(Bills!$S$8:$S$507,$M140)))</f>
        <v/>
      </c>
      <c r="C140" s="50" t="str">
        <f aca="false">IF($M140="","",INDEX(Bills!$D$8:$D$507,$M140))</f>
        <v/>
      </c>
      <c r="D140" s="63" t="str">
        <f aca="false">IF($M140="","",INDEX(Bills!$C$8:$C$507,$M140)&amp;"")</f>
        <v/>
      </c>
      <c r="E140" s="54" t="str">
        <f aca="false">IF($M140="","",INDEX(Bills!$B$8:$B$507,$M140))</f>
        <v/>
      </c>
      <c r="F140" s="54" t="str">
        <f aca="false">IF($M140="","",INDEX(Bills!$H$8:$H$507,$M140))</f>
        <v/>
      </c>
      <c r="G140" s="54" t="str">
        <f aca="false">IF($M140="","",INDEX(Bills!$M$8:$M$507,$M140))</f>
        <v/>
      </c>
      <c r="H140" s="47" t="str">
        <f aca="false">IF($M140="","",INDEX(Bills!$K$8:$K$507,$M140))</f>
        <v/>
      </c>
      <c r="I140" s="64" t="str">
        <f aca="false">IF($M140="","",B140-Setup!$C$11)</f>
        <v/>
      </c>
      <c r="J140" s="46" t="str">
        <f aca="false">IF($M140="","",SUM($H$7:H140))</f>
        <v/>
      </c>
      <c r="K140" s="63" t="str">
        <f aca="false">IF($M140="","",INDEX(Bills!$N$8:$N$507,$M140))</f>
        <v/>
      </c>
      <c r="M140" s="9" t="str">
        <f aca="false">IFERROR(MATCH(SMALL(Bills!$S$8:$S$507,134),Bills!$S$8:$S$507,0),"")</f>
        <v/>
      </c>
    </row>
    <row r="141" customFormat="false" ht="15" hidden="false" customHeight="false" outlineLevel="0" collapsed="false">
      <c r="A141" s="40" t="str">
        <f aca="false">IF($M141="","",135)</f>
        <v/>
      </c>
      <c r="B141" s="62" t="str">
        <f aca="false">IF($M141="","",INT(INDEX(Bills!$S$8:$S$507,$M141)))</f>
        <v/>
      </c>
      <c r="C141" s="50" t="str">
        <f aca="false">IF($M141="","",INDEX(Bills!$D$8:$D$507,$M141))</f>
        <v/>
      </c>
      <c r="D141" s="63" t="str">
        <f aca="false">IF($M141="","",INDEX(Bills!$C$8:$C$507,$M141)&amp;"")</f>
        <v/>
      </c>
      <c r="E141" s="54" t="str">
        <f aca="false">IF($M141="","",INDEX(Bills!$B$8:$B$507,$M141))</f>
        <v/>
      </c>
      <c r="F141" s="54" t="str">
        <f aca="false">IF($M141="","",INDEX(Bills!$H$8:$H$507,$M141))</f>
        <v/>
      </c>
      <c r="G141" s="54" t="str">
        <f aca="false">IF($M141="","",INDEX(Bills!$M$8:$M$507,$M141))</f>
        <v/>
      </c>
      <c r="H141" s="47" t="str">
        <f aca="false">IF($M141="","",INDEX(Bills!$K$8:$K$507,$M141))</f>
        <v/>
      </c>
      <c r="I141" s="64" t="str">
        <f aca="false">IF($M141="","",B141-Setup!$C$11)</f>
        <v/>
      </c>
      <c r="J141" s="46" t="str">
        <f aca="false">IF($M141="","",SUM($H$7:H141))</f>
        <v/>
      </c>
      <c r="K141" s="63" t="str">
        <f aca="false">IF($M141="","",INDEX(Bills!$N$8:$N$507,$M141))</f>
        <v/>
      </c>
      <c r="M141" s="9" t="str">
        <f aca="false">IFERROR(MATCH(SMALL(Bills!$S$8:$S$507,135),Bills!$S$8:$S$507,0),"")</f>
        <v/>
      </c>
    </row>
    <row r="142" customFormat="false" ht="15" hidden="false" customHeight="false" outlineLevel="0" collapsed="false">
      <c r="A142" s="40" t="str">
        <f aca="false">IF($M142="","",136)</f>
        <v/>
      </c>
      <c r="B142" s="62" t="str">
        <f aca="false">IF($M142="","",INT(INDEX(Bills!$S$8:$S$507,$M142)))</f>
        <v/>
      </c>
      <c r="C142" s="50" t="str">
        <f aca="false">IF($M142="","",INDEX(Bills!$D$8:$D$507,$M142))</f>
        <v/>
      </c>
      <c r="D142" s="63" t="str">
        <f aca="false">IF($M142="","",INDEX(Bills!$C$8:$C$507,$M142)&amp;"")</f>
        <v/>
      </c>
      <c r="E142" s="54" t="str">
        <f aca="false">IF($M142="","",INDEX(Bills!$B$8:$B$507,$M142))</f>
        <v/>
      </c>
      <c r="F142" s="54" t="str">
        <f aca="false">IF($M142="","",INDEX(Bills!$H$8:$H$507,$M142))</f>
        <v/>
      </c>
      <c r="G142" s="54" t="str">
        <f aca="false">IF($M142="","",INDEX(Bills!$M$8:$M$507,$M142))</f>
        <v/>
      </c>
      <c r="H142" s="47" t="str">
        <f aca="false">IF($M142="","",INDEX(Bills!$K$8:$K$507,$M142))</f>
        <v/>
      </c>
      <c r="I142" s="64" t="str">
        <f aca="false">IF($M142="","",B142-Setup!$C$11)</f>
        <v/>
      </c>
      <c r="J142" s="46" t="str">
        <f aca="false">IF($M142="","",SUM($H$7:H142))</f>
        <v/>
      </c>
      <c r="K142" s="63" t="str">
        <f aca="false">IF($M142="","",INDEX(Bills!$N$8:$N$507,$M142))</f>
        <v/>
      </c>
      <c r="M142" s="9" t="str">
        <f aca="false">IFERROR(MATCH(SMALL(Bills!$S$8:$S$507,136),Bills!$S$8:$S$507,0),"")</f>
        <v/>
      </c>
    </row>
    <row r="143" customFormat="false" ht="15" hidden="false" customHeight="false" outlineLevel="0" collapsed="false">
      <c r="A143" s="40" t="str">
        <f aca="false">IF($M143="","",137)</f>
        <v/>
      </c>
      <c r="B143" s="62" t="str">
        <f aca="false">IF($M143="","",INT(INDEX(Bills!$S$8:$S$507,$M143)))</f>
        <v/>
      </c>
      <c r="C143" s="50" t="str">
        <f aca="false">IF($M143="","",INDEX(Bills!$D$8:$D$507,$M143))</f>
        <v/>
      </c>
      <c r="D143" s="63" t="str">
        <f aca="false">IF($M143="","",INDEX(Bills!$C$8:$C$507,$M143)&amp;"")</f>
        <v/>
      </c>
      <c r="E143" s="54" t="str">
        <f aca="false">IF($M143="","",INDEX(Bills!$B$8:$B$507,$M143))</f>
        <v/>
      </c>
      <c r="F143" s="54" t="str">
        <f aca="false">IF($M143="","",INDEX(Bills!$H$8:$H$507,$M143))</f>
        <v/>
      </c>
      <c r="G143" s="54" t="str">
        <f aca="false">IF($M143="","",INDEX(Bills!$M$8:$M$507,$M143))</f>
        <v/>
      </c>
      <c r="H143" s="47" t="str">
        <f aca="false">IF($M143="","",INDEX(Bills!$K$8:$K$507,$M143))</f>
        <v/>
      </c>
      <c r="I143" s="64" t="str">
        <f aca="false">IF($M143="","",B143-Setup!$C$11)</f>
        <v/>
      </c>
      <c r="J143" s="46" t="str">
        <f aca="false">IF($M143="","",SUM($H$7:H143))</f>
        <v/>
      </c>
      <c r="K143" s="63" t="str">
        <f aca="false">IF($M143="","",INDEX(Bills!$N$8:$N$507,$M143))</f>
        <v/>
      </c>
      <c r="M143" s="9" t="str">
        <f aca="false">IFERROR(MATCH(SMALL(Bills!$S$8:$S$507,137),Bills!$S$8:$S$507,0),"")</f>
        <v/>
      </c>
    </row>
    <row r="144" customFormat="false" ht="15" hidden="false" customHeight="false" outlineLevel="0" collapsed="false">
      <c r="A144" s="40" t="str">
        <f aca="false">IF($M144="","",138)</f>
        <v/>
      </c>
      <c r="B144" s="62" t="str">
        <f aca="false">IF($M144="","",INT(INDEX(Bills!$S$8:$S$507,$M144)))</f>
        <v/>
      </c>
      <c r="C144" s="50" t="str">
        <f aca="false">IF($M144="","",INDEX(Bills!$D$8:$D$507,$M144))</f>
        <v/>
      </c>
      <c r="D144" s="63" t="str">
        <f aca="false">IF($M144="","",INDEX(Bills!$C$8:$C$507,$M144)&amp;"")</f>
        <v/>
      </c>
      <c r="E144" s="54" t="str">
        <f aca="false">IF($M144="","",INDEX(Bills!$B$8:$B$507,$M144))</f>
        <v/>
      </c>
      <c r="F144" s="54" t="str">
        <f aca="false">IF($M144="","",INDEX(Bills!$H$8:$H$507,$M144))</f>
        <v/>
      </c>
      <c r="G144" s="54" t="str">
        <f aca="false">IF($M144="","",INDEX(Bills!$M$8:$M$507,$M144))</f>
        <v/>
      </c>
      <c r="H144" s="47" t="str">
        <f aca="false">IF($M144="","",INDEX(Bills!$K$8:$K$507,$M144))</f>
        <v/>
      </c>
      <c r="I144" s="64" t="str">
        <f aca="false">IF($M144="","",B144-Setup!$C$11)</f>
        <v/>
      </c>
      <c r="J144" s="46" t="str">
        <f aca="false">IF($M144="","",SUM($H$7:H144))</f>
        <v/>
      </c>
      <c r="K144" s="63" t="str">
        <f aca="false">IF($M144="","",INDEX(Bills!$N$8:$N$507,$M144))</f>
        <v/>
      </c>
      <c r="M144" s="9" t="str">
        <f aca="false">IFERROR(MATCH(SMALL(Bills!$S$8:$S$507,138),Bills!$S$8:$S$507,0),"")</f>
        <v/>
      </c>
    </row>
    <row r="145" customFormat="false" ht="15" hidden="false" customHeight="false" outlineLevel="0" collapsed="false">
      <c r="A145" s="40" t="str">
        <f aca="false">IF($M145="","",139)</f>
        <v/>
      </c>
      <c r="B145" s="62" t="str">
        <f aca="false">IF($M145="","",INT(INDEX(Bills!$S$8:$S$507,$M145)))</f>
        <v/>
      </c>
      <c r="C145" s="50" t="str">
        <f aca="false">IF($M145="","",INDEX(Bills!$D$8:$D$507,$M145))</f>
        <v/>
      </c>
      <c r="D145" s="63" t="str">
        <f aca="false">IF($M145="","",INDEX(Bills!$C$8:$C$507,$M145)&amp;"")</f>
        <v/>
      </c>
      <c r="E145" s="54" t="str">
        <f aca="false">IF($M145="","",INDEX(Bills!$B$8:$B$507,$M145))</f>
        <v/>
      </c>
      <c r="F145" s="54" t="str">
        <f aca="false">IF($M145="","",INDEX(Bills!$H$8:$H$507,$M145))</f>
        <v/>
      </c>
      <c r="G145" s="54" t="str">
        <f aca="false">IF($M145="","",INDEX(Bills!$M$8:$M$507,$M145))</f>
        <v/>
      </c>
      <c r="H145" s="47" t="str">
        <f aca="false">IF($M145="","",INDEX(Bills!$K$8:$K$507,$M145))</f>
        <v/>
      </c>
      <c r="I145" s="64" t="str">
        <f aca="false">IF($M145="","",B145-Setup!$C$11)</f>
        <v/>
      </c>
      <c r="J145" s="46" t="str">
        <f aca="false">IF($M145="","",SUM($H$7:H145))</f>
        <v/>
      </c>
      <c r="K145" s="63" t="str">
        <f aca="false">IF($M145="","",INDEX(Bills!$N$8:$N$507,$M145))</f>
        <v/>
      </c>
      <c r="M145" s="9" t="str">
        <f aca="false">IFERROR(MATCH(SMALL(Bills!$S$8:$S$507,139),Bills!$S$8:$S$507,0),"")</f>
        <v/>
      </c>
    </row>
    <row r="146" customFormat="false" ht="15" hidden="false" customHeight="false" outlineLevel="0" collapsed="false">
      <c r="A146" s="40" t="str">
        <f aca="false">IF($M146="","",140)</f>
        <v/>
      </c>
      <c r="B146" s="62" t="str">
        <f aca="false">IF($M146="","",INT(INDEX(Bills!$S$8:$S$507,$M146)))</f>
        <v/>
      </c>
      <c r="C146" s="50" t="str">
        <f aca="false">IF($M146="","",INDEX(Bills!$D$8:$D$507,$M146))</f>
        <v/>
      </c>
      <c r="D146" s="63" t="str">
        <f aca="false">IF($M146="","",INDEX(Bills!$C$8:$C$507,$M146)&amp;"")</f>
        <v/>
      </c>
      <c r="E146" s="54" t="str">
        <f aca="false">IF($M146="","",INDEX(Bills!$B$8:$B$507,$M146))</f>
        <v/>
      </c>
      <c r="F146" s="54" t="str">
        <f aca="false">IF($M146="","",INDEX(Bills!$H$8:$H$507,$M146))</f>
        <v/>
      </c>
      <c r="G146" s="54" t="str">
        <f aca="false">IF($M146="","",INDEX(Bills!$M$8:$M$507,$M146))</f>
        <v/>
      </c>
      <c r="H146" s="47" t="str">
        <f aca="false">IF($M146="","",INDEX(Bills!$K$8:$K$507,$M146))</f>
        <v/>
      </c>
      <c r="I146" s="64" t="str">
        <f aca="false">IF($M146="","",B146-Setup!$C$11)</f>
        <v/>
      </c>
      <c r="J146" s="46" t="str">
        <f aca="false">IF($M146="","",SUM($H$7:H146))</f>
        <v/>
      </c>
      <c r="K146" s="63" t="str">
        <f aca="false">IF($M146="","",INDEX(Bills!$N$8:$N$507,$M146))</f>
        <v/>
      </c>
      <c r="M146" s="9" t="str">
        <f aca="false">IFERROR(MATCH(SMALL(Bills!$S$8:$S$507,140),Bills!$S$8:$S$507,0),"")</f>
        <v/>
      </c>
    </row>
    <row r="147" customFormat="false" ht="15" hidden="false" customHeight="false" outlineLevel="0" collapsed="false">
      <c r="A147" s="40" t="str">
        <f aca="false">IF($M147="","",141)</f>
        <v/>
      </c>
      <c r="B147" s="62" t="str">
        <f aca="false">IF($M147="","",INT(INDEX(Bills!$S$8:$S$507,$M147)))</f>
        <v/>
      </c>
      <c r="C147" s="50" t="str">
        <f aca="false">IF($M147="","",INDEX(Bills!$D$8:$D$507,$M147))</f>
        <v/>
      </c>
      <c r="D147" s="63" t="str">
        <f aca="false">IF($M147="","",INDEX(Bills!$C$8:$C$507,$M147)&amp;"")</f>
        <v/>
      </c>
      <c r="E147" s="54" t="str">
        <f aca="false">IF($M147="","",INDEX(Bills!$B$8:$B$507,$M147))</f>
        <v/>
      </c>
      <c r="F147" s="54" t="str">
        <f aca="false">IF($M147="","",INDEX(Bills!$H$8:$H$507,$M147))</f>
        <v/>
      </c>
      <c r="G147" s="54" t="str">
        <f aca="false">IF($M147="","",INDEX(Bills!$M$8:$M$507,$M147))</f>
        <v/>
      </c>
      <c r="H147" s="47" t="str">
        <f aca="false">IF($M147="","",INDEX(Bills!$K$8:$K$507,$M147))</f>
        <v/>
      </c>
      <c r="I147" s="64" t="str">
        <f aca="false">IF($M147="","",B147-Setup!$C$11)</f>
        <v/>
      </c>
      <c r="J147" s="46" t="str">
        <f aca="false">IF($M147="","",SUM($H$7:H147))</f>
        <v/>
      </c>
      <c r="K147" s="63" t="str">
        <f aca="false">IF($M147="","",INDEX(Bills!$N$8:$N$507,$M147))</f>
        <v/>
      </c>
      <c r="M147" s="9" t="str">
        <f aca="false">IFERROR(MATCH(SMALL(Bills!$S$8:$S$507,141),Bills!$S$8:$S$507,0),"")</f>
        <v/>
      </c>
    </row>
    <row r="148" customFormat="false" ht="15" hidden="false" customHeight="false" outlineLevel="0" collapsed="false">
      <c r="A148" s="40" t="str">
        <f aca="false">IF($M148="","",142)</f>
        <v/>
      </c>
      <c r="B148" s="62" t="str">
        <f aca="false">IF($M148="","",INT(INDEX(Bills!$S$8:$S$507,$M148)))</f>
        <v/>
      </c>
      <c r="C148" s="50" t="str">
        <f aca="false">IF($M148="","",INDEX(Bills!$D$8:$D$507,$M148))</f>
        <v/>
      </c>
      <c r="D148" s="63" t="str">
        <f aca="false">IF($M148="","",INDEX(Bills!$C$8:$C$507,$M148)&amp;"")</f>
        <v/>
      </c>
      <c r="E148" s="54" t="str">
        <f aca="false">IF($M148="","",INDEX(Bills!$B$8:$B$507,$M148))</f>
        <v/>
      </c>
      <c r="F148" s="54" t="str">
        <f aca="false">IF($M148="","",INDEX(Bills!$H$8:$H$507,$M148))</f>
        <v/>
      </c>
      <c r="G148" s="54" t="str">
        <f aca="false">IF($M148="","",INDEX(Bills!$M$8:$M$507,$M148))</f>
        <v/>
      </c>
      <c r="H148" s="47" t="str">
        <f aca="false">IF($M148="","",INDEX(Bills!$K$8:$K$507,$M148))</f>
        <v/>
      </c>
      <c r="I148" s="64" t="str">
        <f aca="false">IF($M148="","",B148-Setup!$C$11)</f>
        <v/>
      </c>
      <c r="J148" s="46" t="str">
        <f aca="false">IF($M148="","",SUM($H$7:H148))</f>
        <v/>
      </c>
      <c r="K148" s="63" t="str">
        <f aca="false">IF($M148="","",INDEX(Bills!$N$8:$N$507,$M148))</f>
        <v/>
      </c>
      <c r="M148" s="9" t="str">
        <f aca="false">IFERROR(MATCH(SMALL(Bills!$S$8:$S$507,142),Bills!$S$8:$S$507,0),"")</f>
        <v/>
      </c>
    </row>
    <row r="149" customFormat="false" ht="15" hidden="false" customHeight="false" outlineLevel="0" collapsed="false">
      <c r="A149" s="40" t="str">
        <f aca="false">IF($M149="","",143)</f>
        <v/>
      </c>
      <c r="B149" s="62" t="str">
        <f aca="false">IF($M149="","",INT(INDEX(Bills!$S$8:$S$507,$M149)))</f>
        <v/>
      </c>
      <c r="C149" s="50" t="str">
        <f aca="false">IF($M149="","",INDEX(Bills!$D$8:$D$507,$M149))</f>
        <v/>
      </c>
      <c r="D149" s="63" t="str">
        <f aca="false">IF($M149="","",INDEX(Bills!$C$8:$C$507,$M149)&amp;"")</f>
        <v/>
      </c>
      <c r="E149" s="54" t="str">
        <f aca="false">IF($M149="","",INDEX(Bills!$B$8:$B$507,$M149))</f>
        <v/>
      </c>
      <c r="F149" s="54" t="str">
        <f aca="false">IF($M149="","",INDEX(Bills!$H$8:$H$507,$M149))</f>
        <v/>
      </c>
      <c r="G149" s="54" t="str">
        <f aca="false">IF($M149="","",INDEX(Bills!$M$8:$M$507,$M149))</f>
        <v/>
      </c>
      <c r="H149" s="47" t="str">
        <f aca="false">IF($M149="","",INDEX(Bills!$K$8:$K$507,$M149))</f>
        <v/>
      </c>
      <c r="I149" s="64" t="str">
        <f aca="false">IF($M149="","",B149-Setup!$C$11)</f>
        <v/>
      </c>
      <c r="J149" s="46" t="str">
        <f aca="false">IF($M149="","",SUM($H$7:H149))</f>
        <v/>
      </c>
      <c r="K149" s="63" t="str">
        <f aca="false">IF($M149="","",INDEX(Bills!$N$8:$N$507,$M149))</f>
        <v/>
      </c>
      <c r="M149" s="9" t="str">
        <f aca="false">IFERROR(MATCH(SMALL(Bills!$S$8:$S$507,143),Bills!$S$8:$S$507,0),"")</f>
        <v/>
      </c>
    </row>
    <row r="150" customFormat="false" ht="15" hidden="false" customHeight="false" outlineLevel="0" collapsed="false">
      <c r="A150" s="40" t="str">
        <f aca="false">IF($M150="","",144)</f>
        <v/>
      </c>
      <c r="B150" s="62" t="str">
        <f aca="false">IF($M150="","",INT(INDEX(Bills!$S$8:$S$507,$M150)))</f>
        <v/>
      </c>
      <c r="C150" s="50" t="str">
        <f aca="false">IF($M150="","",INDEX(Bills!$D$8:$D$507,$M150))</f>
        <v/>
      </c>
      <c r="D150" s="63" t="str">
        <f aca="false">IF($M150="","",INDEX(Bills!$C$8:$C$507,$M150)&amp;"")</f>
        <v/>
      </c>
      <c r="E150" s="54" t="str">
        <f aca="false">IF($M150="","",INDEX(Bills!$B$8:$B$507,$M150))</f>
        <v/>
      </c>
      <c r="F150" s="54" t="str">
        <f aca="false">IF($M150="","",INDEX(Bills!$H$8:$H$507,$M150))</f>
        <v/>
      </c>
      <c r="G150" s="54" t="str">
        <f aca="false">IF($M150="","",INDEX(Bills!$M$8:$M$507,$M150))</f>
        <v/>
      </c>
      <c r="H150" s="47" t="str">
        <f aca="false">IF($M150="","",INDEX(Bills!$K$8:$K$507,$M150))</f>
        <v/>
      </c>
      <c r="I150" s="64" t="str">
        <f aca="false">IF($M150="","",B150-Setup!$C$11)</f>
        <v/>
      </c>
      <c r="J150" s="46" t="str">
        <f aca="false">IF($M150="","",SUM($H$7:H150))</f>
        <v/>
      </c>
      <c r="K150" s="63" t="str">
        <f aca="false">IF($M150="","",INDEX(Bills!$N$8:$N$507,$M150))</f>
        <v/>
      </c>
      <c r="M150" s="9" t="str">
        <f aca="false">IFERROR(MATCH(SMALL(Bills!$S$8:$S$507,144),Bills!$S$8:$S$507,0),"")</f>
        <v/>
      </c>
    </row>
    <row r="151" customFormat="false" ht="15" hidden="false" customHeight="false" outlineLevel="0" collapsed="false">
      <c r="A151" s="40" t="str">
        <f aca="false">IF($M151="","",145)</f>
        <v/>
      </c>
      <c r="B151" s="62" t="str">
        <f aca="false">IF($M151="","",INT(INDEX(Bills!$S$8:$S$507,$M151)))</f>
        <v/>
      </c>
      <c r="C151" s="50" t="str">
        <f aca="false">IF($M151="","",INDEX(Bills!$D$8:$D$507,$M151))</f>
        <v/>
      </c>
      <c r="D151" s="63" t="str">
        <f aca="false">IF($M151="","",INDEX(Bills!$C$8:$C$507,$M151)&amp;"")</f>
        <v/>
      </c>
      <c r="E151" s="54" t="str">
        <f aca="false">IF($M151="","",INDEX(Bills!$B$8:$B$507,$M151))</f>
        <v/>
      </c>
      <c r="F151" s="54" t="str">
        <f aca="false">IF($M151="","",INDEX(Bills!$H$8:$H$507,$M151))</f>
        <v/>
      </c>
      <c r="G151" s="54" t="str">
        <f aca="false">IF($M151="","",INDEX(Bills!$M$8:$M$507,$M151))</f>
        <v/>
      </c>
      <c r="H151" s="47" t="str">
        <f aca="false">IF($M151="","",INDEX(Bills!$K$8:$K$507,$M151))</f>
        <v/>
      </c>
      <c r="I151" s="64" t="str">
        <f aca="false">IF($M151="","",B151-Setup!$C$11)</f>
        <v/>
      </c>
      <c r="J151" s="46" t="str">
        <f aca="false">IF($M151="","",SUM($H$7:H151))</f>
        <v/>
      </c>
      <c r="K151" s="63" t="str">
        <f aca="false">IF($M151="","",INDEX(Bills!$N$8:$N$507,$M151))</f>
        <v/>
      </c>
      <c r="M151" s="9" t="str">
        <f aca="false">IFERROR(MATCH(SMALL(Bills!$S$8:$S$507,145),Bills!$S$8:$S$507,0),"")</f>
        <v/>
      </c>
    </row>
    <row r="152" customFormat="false" ht="15" hidden="false" customHeight="false" outlineLevel="0" collapsed="false">
      <c r="A152" s="40" t="str">
        <f aca="false">IF($M152="","",146)</f>
        <v/>
      </c>
      <c r="B152" s="62" t="str">
        <f aca="false">IF($M152="","",INT(INDEX(Bills!$S$8:$S$507,$M152)))</f>
        <v/>
      </c>
      <c r="C152" s="50" t="str">
        <f aca="false">IF($M152="","",INDEX(Bills!$D$8:$D$507,$M152))</f>
        <v/>
      </c>
      <c r="D152" s="63" t="str">
        <f aca="false">IF($M152="","",INDEX(Bills!$C$8:$C$507,$M152)&amp;"")</f>
        <v/>
      </c>
      <c r="E152" s="54" t="str">
        <f aca="false">IF($M152="","",INDEX(Bills!$B$8:$B$507,$M152))</f>
        <v/>
      </c>
      <c r="F152" s="54" t="str">
        <f aca="false">IF($M152="","",INDEX(Bills!$H$8:$H$507,$M152))</f>
        <v/>
      </c>
      <c r="G152" s="54" t="str">
        <f aca="false">IF($M152="","",INDEX(Bills!$M$8:$M$507,$M152))</f>
        <v/>
      </c>
      <c r="H152" s="47" t="str">
        <f aca="false">IF($M152="","",INDEX(Bills!$K$8:$K$507,$M152))</f>
        <v/>
      </c>
      <c r="I152" s="64" t="str">
        <f aca="false">IF($M152="","",B152-Setup!$C$11)</f>
        <v/>
      </c>
      <c r="J152" s="46" t="str">
        <f aca="false">IF($M152="","",SUM($H$7:H152))</f>
        <v/>
      </c>
      <c r="K152" s="63" t="str">
        <f aca="false">IF($M152="","",INDEX(Bills!$N$8:$N$507,$M152))</f>
        <v/>
      </c>
      <c r="M152" s="9" t="str">
        <f aca="false">IFERROR(MATCH(SMALL(Bills!$S$8:$S$507,146),Bills!$S$8:$S$507,0),"")</f>
        <v/>
      </c>
    </row>
    <row r="153" customFormat="false" ht="15" hidden="false" customHeight="false" outlineLevel="0" collapsed="false">
      <c r="A153" s="40" t="str">
        <f aca="false">IF($M153="","",147)</f>
        <v/>
      </c>
      <c r="B153" s="62" t="str">
        <f aca="false">IF($M153="","",INT(INDEX(Bills!$S$8:$S$507,$M153)))</f>
        <v/>
      </c>
      <c r="C153" s="50" t="str">
        <f aca="false">IF($M153="","",INDEX(Bills!$D$8:$D$507,$M153))</f>
        <v/>
      </c>
      <c r="D153" s="63" t="str">
        <f aca="false">IF($M153="","",INDEX(Bills!$C$8:$C$507,$M153)&amp;"")</f>
        <v/>
      </c>
      <c r="E153" s="54" t="str">
        <f aca="false">IF($M153="","",INDEX(Bills!$B$8:$B$507,$M153))</f>
        <v/>
      </c>
      <c r="F153" s="54" t="str">
        <f aca="false">IF($M153="","",INDEX(Bills!$H$8:$H$507,$M153))</f>
        <v/>
      </c>
      <c r="G153" s="54" t="str">
        <f aca="false">IF($M153="","",INDEX(Bills!$M$8:$M$507,$M153))</f>
        <v/>
      </c>
      <c r="H153" s="47" t="str">
        <f aca="false">IF($M153="","",INDEX(Bills!$K$8:$K$507,$M153))</f>
        <v/>
      </c>
      <c r="I153" s="64" t="str">
        <f aca="false">IF($M153="","",B153-Setup!$C$11)</f>
        <v/>
      </c>
      <c r="J153" s="46" t="str">
        <f aca="false">IF($M153="","",SUM($H$7:H153))</f>
        <v/>
      </c>
      <c r="K153" s="63" t="str">
        <f aca="false">IF($M153="","",INDEX(Bills!$N$8:$N$507,$M153))</f>
        <v/>
      </c>
      <c r="M153" s="9" t="str">
        <f aca="false">IFERROR(MATCH(SMALL(Bills!$S$8:$S$507,147),Bills!$S$8:$S$507,0),"")</f>
        <v/>
      </c>
    </row>
    <row r="154" customFormat="false" ht="15" hidden="false" customHeight="false" outlineLevel="0" collapsed="false">
      <c r="A154" s="40" t="str">
        <f aca="false">IF($M154="","",148)</f>
        <v/>
      </c>
      <c r="B154" s="62" t="str">
        <f aca="false">IF($M154="","",INT(INDEX(Bills!$S$8:$S$507,$M154)))</f>
        <v/>
      </c>
      <c r="C154" s="50" t="str">
        <f aca="false">IF($M154="","",INDEX(Bills!$D$8:$D$507,$M154))</f>
        <v/>
      </c>
      <c r="D154" s="63" t="str">
        <f aca="false">IF($M154="","",INDEX(Bills!$C$8:$C$507,$M154)&amp;"")</f>
        <v/>
      </c>
      <c r="E154" s="54" t="str">
        <f aca="false">IF($M154="","",INDEX(Bills!$B$8:$B$507,$M154))</f>
        <v/>
      </c>
      <c r="F154" s="54" t="str">
        <f aca="false">IF($M154="","",INDEX(Bills!$H$8:$H$507,$M154))</f>
        <v/>
      </c>
      <c r="G154" s="54" t="str">
        <f aca="false">IF($M154="","",INDEX(Bills!$M$8:$M$507,$M154))</f>
        <v/>
      </c>
      <c r="H154" s="47" t="str">
        <f aca="false">IF($M154="","",INDEX(Bills!$K$8:$K$507,$M154))</f>
        <v/>
      </c>
      <c r="I154" s="64" t="str">
        <f aca="false">IF($M154="","",B154-Setup!$C$11)</f>
        <v/>
      </c>
      <c r="J154" s="46" t="str">
        <f aca="false">IF($M154="","",SUM($H$7:H154))</f>
        <v/>
      </c>
      <c r="K154" s="63" t="str">
        <f aca="false">IF($M154="","",INDEX(Bills!$N$8:$N$507,$M154))</f>
        <v/>
      </c>
      <c r="M154" s="9" t="str">
        <f aca="false">IFERROR(MATCH(SMALL(Bills!$S$8:$S$507,148),Bills!$S$8:$S$507,0),"")</f>
        <v/>
      </c>
    </row>
    <row r="155" customFormat="false" ht="15" hidden="false" customHeight="false" outlineLevel="0" collapsed="false">
      <c r="A155" s="40" t="str">
        <f aca="false">IF($M155="","",149)</f>
        <v/>
      </c>
      <c r="B155" s="62" t="str">
        <f aca="false">IF($M155="","",INT(INDEX(Bills!$S$8:$S$507,$M155)))</f>
        <v/>
      </c>
      <c r="C155" s="50" t="str">
        <f aca="false">IF($M155="","",INDEX(Bills!$D$8:$D$507,$M155))</f>
        <v/>
      </c>
      <c r="D155" s="63" t="str">
        <f aca="false">IF($M155="","",INDEX(Bills!$C$8:$C$507,$M155)&amp;"")</f>
        <v/>
      </c>
      <c r="E155" s="54" t="str">
        <f aca="false">IF($M155="","",INDEX(Bills!$B$8:$B$507,$M155))</f>
        <v/>
      </c>
      <c r="F155" s="54" t="str">
        <f aca="false">IF($M155="","",INDEX(Bills!$H$8:$H$507,$M155))</f>
        <v/>
      </c>
      <c r="G155" s="54" t="str">
        <f aca="false">IF($M155="","",INDEX(Bills!$M$8:$M$507,$M155))</f>
        <v/>
      </c>
      <c r="H155" s="47" t="str">
        <f aca="false">IF($M155="","",INDEX(Bills!$K$8:$K$507,$M155))</f>
        <v/>
      </c>
      <c r="I155" s="64" t="str">
        <f aca="false">IF($M155="","",B155-Setup!$C$11)</f>
        <v/>
      </c>
      <c r="J155" s="46" t="str">
        <f aca="false">IF($M155="","",SUM($H$7:H155))</f>
        <v/>
      </c>
      <c r="K155" s="63" t="str">
        <f aca="false">IF($M155="","",INDEX(Bills!$N$8:$N$507,$M155))</f>
        <v/>
      </c>
      <c r="M155" s="9" t="str">
        <f aca="false">IFERROR(MATCH(SMALL(Bills!$S$8:$S$507,149),Bills!$S$8:$S$507,0),"")</f>
        <v/>
      </c>
    </row>
    <row r="156" customFormat="false" ht="15" hidden="false" customHeight="false" outlineLevel="0" collapsed="false">
      <c r="A156" s="40" t="str">
        <f aca="false">IF($M156="","",150)</f>
        <v/>
      </c>
      <c r="B156" s="62" t="str">
        <f aca="false">IF($M156="","",INT(INDEX(Bills!$S$8:$S$507,$M156)))</f>
        <v/>
      </c>
      <c r="C156" s="50" t="str">
        <f aca="false">IF($M156="","",INDEX(Bills!$D$8:$D$507,$M156))</f>
        <v/>
      </c>
      <c r="D156" s="63" t="str">
        <f aca="false">IF($M156="","",INDEX(Bills!$C$8:$C$507,$M156)&amp;"")</f>
        <v/>
      </c>
      <c r="E156" s="54" t="str">
        <f aca="false">IF($M156="","",INDEX(Bills!$B$8:$B$507,$M156))</f>
        <v/>
      </c>
      <c r="F156" s="54" t="str">
        <f aca="false">IF($M156="","",INDEX(Bills!$H$8:$H$507,$M156))</f>
        <v/>
      </c>
      <c r="G156" s="54" t="str">
        <f aca="false">IF($M156="","",INDEX(Bills!$M$8:$M$507,$M156))</f>
        <v/>
      </c>
      <c r="H156" s="47" t="str">
        <f aca="false">IF($M156="","",INDEX(Bills!$K$8:$K$507,$M156))</f>
        <v/>
      </c>
      <c r="I156" s="64" t="str">
        <f aca="false">IF($M156="","",B156-Setup!$C$11)</f>
        <v/>
      </c>
      <c r="J156" s="46" t="str">
        <f aca="false">IF($M156="","",SUM($H$7:H156))</f>
        <v/>
      </c>
      <c r="K156" s="63" t="str">
        <f aca="false">IF($M156="","",INDEX(Bills!$N$8:$N$507,$M156))</f>
        <v/>
      </c>
      <c r="M156" s="9" t="str">
        <f aca="false">IFERROR(MATCH(SMALL(Bills!$S$8:$S$507,150),Bills!$S$8:$S$507,0),"")</f>
        <v/>
      </c>
    </row>
  </sheetData>
  <sheetProtection sheet="1" objects="1" scenarios="1" formatColumns="0" formatRows="0" algorithmName="SHA-512" hashValue="BZiwPMUWuTmFfVxEWRajO34+1sdlqpRmzYHviOAnf50vYDmmsM/jJuErvxfT+n/na9C8BjURJHlTiAYRzIHNUg==" saltValue="UwsFjK/ur5g1LAkaqgw6yw==" spinCount="100000"/>
  <mergeCells count="2">
    <mergeCell ref="A2:L2"/>
    <mergeCell ref="A3:L3"/>
  </mergeCells>
  <conditionalFormatting sqref="K7:K156">
    <cfRule type="expression" priority="2" aboveAverage="0" equalAverage="0" bottom="0" percent="0" rank="0" text="" dxfId="3">
      <formula>LEFT($K7,1)="⚠"</formula>
    </cfRule>
  </conditionalFormatting>
  <conditionalFormatting sqref="I7:I156">
    <cfRule type="expression" priority="3" aboveAverage="0" equalAverage="0" bottom="0" percent="0" rank="0" text="" dxfId="5">
      <formula>AND(ISNUMBER($I7),$I7&lt;0)</formula>
    </cfRule>
    <cfRule type="expression" priority="4" aboveAverage="0" equalAverage="0" bottom="0" percent="0" rank="0" text="" dxfId="6">
      <formula>AND(ISNUMBER($I7),$I7&lt;=7)</formula>
    </cfRule>
  </conditionalFormatting>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00000"/>
    <pageSetUpPr fitToPage="true"/>
  </sheetPr>
  <dimension ref="A1:N10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6" topLeftCell="C7" activePane="bottomRight" state="frozen"/>
      <selection pane="topLeft" activeCell="A1" activeCellId="0" sqref="A1"/>
      <selection pane="topRight" activeCell="C1" activeCellId="0" sqref="C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8"/>
    <col collapsed="false" customWidth="true" hidden="false" outlineLevel="0" max="3" min="3" style="0" width="14"/>
    <col collapsed="false" customWidth="true" hidden="false" outlineLevel="0" max="8" min="4" style="0" width="12"/>
    <col collapsed="false" customWidth="true" hidden="false" outlineLevel="0" max="9" min="9" style="0" width="13"/>
    <col collapsed="false" customWidth="true" hidden="false" outlineLevel="0" max="10" min="10" style="0" width="10"/>
    <col collapsed="false" customWidth="true" hidden="false" outlineLevel="0" max="11" min="11" style="0" width="11"/>
    <col collapsed="false" customWidth="true" hidden="false" outlineLevel="0" max="12" min="12" style="0" width="10"/>
    <col collapsed="false" customWidth="true" hidden="false" outlineLevel="0" max="13" min="13" style="0" width="17"/>
    <col collapsed="false" customWidth="true" hidden="true" outlineLevel="0" max="14" min="14" style="0" width="13"/>
  </cols>
  <sheetData>
    <row r="1" customFormat="false" ht="15" hidden="false" customHeight="false" outlineLevel="0" collapsed="false">
      <c r="A1" s="20" t="s">
        <v>27</v>
      </c>
    </row>
    <row r="2" customFormat="false" ht="30" hidden="false" customHeight="true" outlineLevel="0" collapsed="false">
      <c r="A2" s="37" t="s">
        <v>163</v>
      </c>
      <c r="B2" s="37"/>
      <c r="C2" s="37"/>
      <c r="D2" s="37"/>
      <c r="E2" s="37"/>
      <c r="F2" s="37"/>
      <c r="G2" s="37"/>
      <c r="H2" s="37"/>
      <c r="I2" s="37"/>
      <c r="J2" s="37"/>
      <c r="K2" s="37"/>
      <c r="L2" s="37"/>
      <c r="M2" s="37"/>
    </row>
    <row r="3" customFormat="false" ht="30" hidden="false" customHeight="true" outlineLevel="0" collapsed="false">
      <c r="A3" s="36" t="s">
        <v>164</v>
      </c>
      <c r="B3" s="36"/>
      <c r="C3" s="36"/>
      <c r="D3" s="36"/>
      <c r="E3" s="36"/>
      <c r="F3" s="36"/>
      <c r="G3" s="36"/>
      <c r="H3" s="36"/>
      <c r="I3" s="36"/>
      <c r="J3" s="36"/>
      <c r="K3" s="36"/>
      <c r="L3" s="36"/>
      <c r="M3" s="36"/>
    </row>
    <row r="4" customFormat="false" ht="15" hidden="false" customHeight="false" outlineLevel="0" collapsed="false">
      <c r="B4" s="58" t="s">
        <v>156</v>
      </c>
      <c r="C4" s="59" t="n">
        <f aca="false">Setup!$C$11</f>
        <v>46310</v>
      </c>
    </row>
    <row r="6" customFormat="false" ht="39.75" hidden="false" customHeight="true" outlineLevel="0" collapsed="false">
      <c r="A6" s="38" t="s">
        <v>64</v>
      </c>
      <c r="B6" s="38" t="s">
        <v>108</v>
      </c>
      <c r="C6" s="38" t="s">
        <v>3</v>
      </c>
      <c r="D6" s="38" t="s">
        <v>6</v>
      </c>
      <c r="E6" s="38" t="s">
        <v>9</v>
      </c>
      <c r="F6" s="38" t="s">
        <v>12</v>
      </c>
      <c r="G6" s="38" t="s">
        <v>15</v>
      </c>
      <c r="H6" s="38" t="s">
        <v>18</v>
      </c>
      <c r="I6" s="38" t="s">
        <v>165</v>
      </c>
      <c r="J6" s="38" t="s">
        <v>166</v>
      </c>
      <c r="K6" s="38" t="s">
        <v>167</v>
      </c>
      <c r="L6" s="38" t="s">
        <v>168</v>
      </c>
      <c r="M6" s="38" t="s">
        <v>75</v>
      </c>
    </row>
    <row r="7" customFormat="false" ht="15" hidden="false" customHeight="false" outlineLevel="0" collapsed="false">
      <c r="A7" s="40" t="n">
        <f aca="false">IF(Suppliers!$B$7="","",1)</f>
        <v>1</v>
      </c>
      <c r="B7" s="65" t="str">
        <f aca="false">IF(Suppliers!$B$7="","",Suppliers!$B$7)</f>
        <v>Havells Distributor – Ludhiana</v>
      </c>
      <c r="C7" s="66" t="n">
        <f aca="false">IF(Suppliers!$B$7="","",Suppliers!$K$7)</f>
        <v>58052</v>
      </c>
      <c r="D7" s="46" t="n">
        <f aca="false">IF(Suppliers!$B$7="","",SUMIFS(Bills!$K$8:$K$507,Bills!$D$8:$D$507,$B7,Bills!$K$8:$K$507,"&gt;0",Bills!$U$8:$U$507,0))</f>
        <v>38350</v>
      </c>
      <c r="E7" s="46" t="n">
        <f aca="false">IF(Suppliers!$B$7="","",SUMIFS(Bills!$K$8:$K$507,Bills!$D$8:$D$507,$B7,Bills!$K$8:$K$507,"&gt;0",Bills!$U$8:$U$507,"&gt;="&amp;1,Bills!$U$8:$U$507,"&lt;="&amp;30))</f>
        <v>19702</v>
      </c>
      <c r="F7" s="46" t="n">
        <f aca="false">IF(Suppliers!$B$7="","",SUMIFS(Bills!$K$8:$K$507,Bills!$D$8:$D$507,$B7,Bills!$K$8:$K$507,"&gt;0",Bills!$U$8:$U$507,"&gt;="&amp;31,Bills!$U$8:$U$507,"&lt;="&amp;60))</f>
        <v>0</v>
      </c>
      <c r="G7" s="46" t="n">
        <f aca="false">IF(Suppliers!$B$7="","",SUMIFS(Bills!$K$8:$K$507,Bills!$D$8:$D$507,$B7,Bills!$K$8:$K$507,"&gt;0",Bills!$U$8:$U$507,"&gt;="&amp;61,Bills!$U$8:$U$507,"&lt;="&amp;90))</f>
        <v>0</v>
      </c>
      <c r="H7" s="46" t="n">
        <f aca="false">IF(Suppliers!$B$7="","",SUMIFS(Bills!$K$8:$K$507,Bills!$D$8:$D$507,$B7,Bills!$K$8:$K$507,"&gt;0",Bills!$U$8:$U$507,"&gt;="&amp;91))</f>
        <v>0</v>
      </c>
      <c r="I7" s="67" t="n">
        <f aca="false">IF(Suppliers!$B$7="","",MAX(0,Suppliers!$R$7-SUMIFS(Bills!$P$8:$P$507,Bills!$D$8:$D$507,$B7)))</f>
        <v>0</v>
      </c>
      <c r="J7" s="55" t="n">
        <f aca="false">IF(Suppliers!$B$7="","",IF(COUNTIFS(Bills!$D$8:$D$507,$B7,Bills!$U$8:$U$507,"&gt;0")=0,"",SUMPRODUCT(MAX((Bills!$D$8:$D$507=$B7)*Bills!$U$8:$U$507))))</f>
        <v>21</v>
      </c>
      <c r="K7" s="54" t="n">
        <f aca="false">IF(Suppliers!$B$7="","",IF(COUNTIF(Payments!$C$8:$C$507,$B7)=0,"–",SUMPRODUCT(MAX((Payments!$C$8:$C$507=$B7)*Payments!$B$8:$B$507))))</f>
        <v>46302</v>
      </c>
      <c r="L7" s="63" t="str">
        <f aca="false">IF(Suppliers!$B$7="","",Suppliers!$F$7&amp;"")</f>
        <v>Not MSME</v>
      </c>
      <c r="M7" s="49" t="str">
        <f aca="false">IF(Suppliers!$B$7="","",Suppliers!$N$7)</f>
        <v>Overdue</v>
      </c>
      <c r="N7" s="9" t="n">
        <f aca="false">IF(B7="",-1,N(H7)+N(G7)+N(F7)+N(E7)+ROW()/1000000)</f>
        <v>19702.000007</v>
      </c>
    </row>
    <row r="8" customFormat="false" ht="15" hidden="false" customHeight="false" outlineLevel="0" collapsed="false">
      <c r="A8" s="40" t="n">
        <f aca="false">IF(Suppliers!$B$8="","",2)</f>
        <v>2</v>
      </c>
      <c r="B8" s="65" t="str">
        <f aca="false">IF(Suppliers!$B$8="","",Suppliers!$B$8)</f>
        <v>Wire House Pvt Ltd</v>
      </c>
      <c r="C8" s="66" t="n">
        <f aca="false">IF(Suppliers!$B$8="","",Suppliers!$K$8)</f>
        <v>60888</v>
      </c>
      <c r="D8" s="46" t="n">
        <f aca="false">IF(Suppliers!$B$8="","",SUMIFS(Bills!$K$8:$K$507,Bills!$D$8:$D$507,$B8,Bills!$K$8:$K$507,"&gt;0",Bills!$U$8:$U$507,0))</f>
        <v>60888</v>
      </c>
      <c r="E8" s="46" t="n">
        <f aca="false">IF(Suppliers!$B$8="","",SUMIFS(Bills!$K$8:$K$507,Bills!$D$8:$D$507,$B8,Bills!$K$8:$K$507,"&gt;0",Bills!$U$8:$U$507,"&gt;="&amp;1,Bills!$U$8:$U$507,"&lt;="&amp;30))</f>
        <v>0</v>
      </c>
      <c r="F8" s="46" t="n">
        <f aca="false">IF(Suppliers!$B$8="","",SUMIFS(Bills!$K$8:$K$507,Bills!$D$8:$D$507,$B8,Bills!$K$8:$K$507,"&gt;0",Bills!$U$8:$U$507,"&gt;="&amp;31,Bills!$U$8:$U$507,"&lt;="&amp;60))</f>
        <v>0</v>
      </c>
      <c r="G8" s="46" t="n">
        <f aca="false">IF(Suppliers!$B$8="","",SUMIFS(Bills!$K$8:$K$507,Bills!$D$8:$D$507,$B8,Bills!$K$8:$K$507,"&gt;0",Bills!$U$8:$U$507,"&gt;="&amp;61,Bills!$U$8:$U$507,"&lt;="&amp;90))</f>
        <v>0</v>
      </c>
      <c r="H8" s="46" t="n">
        <f aca="false">IF(Suppliers!$B$8="","",SUMIFS(Bills!$K$8:$K$507,Bills!$D$8:$D$507,$B8,Bills!$K$8:$K$507,"&gt;0",Bills!$U$8:$U$507,"&gt;="&amp;91))</f>
        <v>0</v>
      </c>
      <c r="I8" s="67" t="n">
        <f aca="false">IF(Suppliers!$B$8="","",MAX(0,Suppliers!$R$8-SUMIFS(Bills!$P$8:$P$507,Bills!$D$8:$D$507,$B8)))</f>
        <v>0</v>
      </c>
      <c r="J8" s="55" t="str">
        <f aca="false">IF(Suppliers!$B$8="","",IF(COUNTIFS(Bills!$D$8:$D$507,$B8,Bills!$U$8:$U$507,"&gt;0")=0,"",SUMPRODUCT(MAX((Bills!$D$8:$D$507=$B8)*Bills!$U$8:$U$507))))</f>
        <v/>
      </c>
      <c r="K8" s="54" t="n">
        <f aca="false">IF(Suppliers!$B$8="","",IF(COUNTIF(Payments!$C$8:$C$507,$B8)=0,"–",SUMPRODUCT(MAX((Payments!$C$8:$C$507=$B8)*Payments!$B$8:$B$507))))</f>
        <v>46280</v>
      </c>
      <c r="L8" s="63" t="str">
        <f aca="false">IF(Suppliers!$B$8="","",Suppliers!$F$8&amp;"")</f>
        <v>Small</v>
      </c>
      <c r="M8" s="49" t="str">
        <f aca="false">IF(Suppliers!$B$8="","",Suppliers!$N$8)</f>
        <v>Within credit</v>
      </c>
      <c r="N8" s="9" t="n">
        <f aca="false">IF(B8="",-1,N(H8)+N(G8)+N(F8)+N(E8)+ROW()/1000000)</f>
        <v>8E-006</v>
      </c>
    </row>
    <row r="9" customFormat="false" ht="15" hidden="false" customHeight="false" outlineLevel="0" collapsed="false">
      <c r="A9" s="40" t="n">
        <f aca="false">IF(Suppliers!$B$9="","",3)</f>
        <v>3</v>
      </c>
      <c r="B9" s="65" t="str">
        <f aca="false">IF(Suppliers!$B$9="","",Suppliers!$B$9)</f>
        <v>Sharma Lighting Co.</v>
      </c>
      <c r="C9" s="66" t="n">
        <f aca="false">IF(Suppliers!$B$9="","",Suppliers!$K$9)</f>
        <v>30710</v>
      </c>
      <c r="D9" s="46" t="n">
        <f aca="false">IF(Suppliers!$B$9="","",SUMIFS(Bills!$K$8:$K$507,Bills!$D$8:$D$507,$B9,Bills!$K$8:$K$507,"&gt;0",Bills!$U$8:$U$507,0))</f>
        <v>9440</v>
      </c>
      <c r="E9" s="46" t="n">
        <f aca="false">IF(Suppliers!$B$9="","",SUMIFS(Bills!$K$8:$K$507,Bills!$D$8:$D$507,$B9,Bills!$K$8:$K$507,"&gt;0",Bills!$U$8:$U$507,"&gt;="&amp;1,Bills!$U$8:$U$507,"&lt;="&amp;30))</f>
        <v>12390</v>
      </c>
      <c r="F9" s="46" t="n">
        <f aca="false">IF(Suppliers!$B$9="","",SUMIFS(Bills!$K$8:$K$507,Bills!$D$8:$D$507,$B9,Bills!$K$8:$K$507,"&gt;0",Bills!$U$8:$U$507,"&gt;="&amp;31,Bills!$U$8:$U$507,"&lt;="&amp;60))</f>
        <v>8880</v>
      </c>
      <c r="G9" s="46" t="n">
        <f aca="false">IF(Suppliers!$B$9="","",SUMIFS(Bills!$K$8:$K$507,Bills!$D$8:$D$507,$B9,Bills!$K$8:$K$507,"&gt;0",Bills!$U$8:$U$507,"&gt;="&amp;61,Bills!$U$8:$U$507,"&lt;="&amp;90))</f>
        <v>0</v>
      </c>
      <c r="H9" s="46" t="n">
        <f aca="false">IF(Suppliers!$B$9="","",SUMIFS(Bills!$K$8:$K$507,Bills!$D$8:$D$507,$B9,Bills!$K$8:$K$507,"&gt;0",Bills!$U$8:$U$507,"&gt;="&amp;91))</f>
        <v>0</v>
      </c>
      <c r="I9" s="67" t="n">
        <f aca="false">IF(Suppliers!$B$9="","",MAX(0,Suppliers!$R$9-SUMIFS(Bills!$P$8:$P$507,Bills!$D$8:$D$507,$B9)))</f>
        <v>0</v>
      </c>
      <c r="J9" s="55" t="n">
        <f aca="false">IF(Suppliers!$B$9="","",IF(COUNTIFS(Bills!$D$8:$D$507,$B9,Bills!$U$8:$U$507,"&gt;0")=0,"",SUMPRODUCT(MAX((Bills!$D$8:$D$507=$B9)*Bills!$U$8:$U$507))))</f>
        <v>37</v>
      </c>
      <c r="K9" s="54" t="n">
        <f aca="false">IF(Suppliers!$B$9="","",IF(COUNTIF(Payments!$C$8:$C$507,$B9)=0,"–",SUMPRODUCT(MAX((Payments!$C$8:$C$507=$B9)*Payments!$B$8:$B$507))))</f>
        <v>46290</v>
      </c>
      <c r="L9" s="63" t="str">
        <f aca="false">IF(Suppliers!$B$9="","",Suppliers!$F$9&amp;"")</f>
        <v>Micro</v>
      </c>
      <c r="M9" s="49" t="str">
        <f aca="false">IF(Suppliers!$B$9="","",Suppliers!$N$9)</f>
        <v>⚠ MSME deadline</v>
      </c>
      <c r="N9" s="9" t="n">
        <f aca="false">IF(B9="",-1,N(H9)+N(G9)+N(F9)+N(E9)+ROW()/1000000)</f>
        <v>21270.000009</v>
      </c>
    </row>
    <row r="10" customFormat="false" ht="15" hidden="false" customHeight="false" outlineLevel="0" collapsed="false">
      <c r="A10" s="40" t="n">
        <f aca="false">IF(Suppliers!$B$10="","",4)</f>
        <v>4</v>
      </c>
      <c r="B10" s="65" t="str">
        <f aca="false">IF(Suppliers!$B$10="","",Suppliers!$B$10)</f>
        <v>Punjab Cables</v>
      </c>
      <c r="C10" s="66" t="n">
        <f aca="false">IF(Suppliers!$B$10="","",Suppliers!$K$10)</f>
        <v>43660</v>
      </c>
      <c r="D10" s="46" t="n">
        <f aca="false">IF(Suppliers!$B$10="","",SUMIFS(Bills!$K$8:$K$507,Bills!$D$8:$D$507,$B10,Bills!$K$8:$K$507,"&gt;0",Bills!$U$8:$U$507,0))</f>
        <v>43660</v>
      </c>
      <c r="E10" s="46" t="n">
        <f aca="false">IF(Suppliers!$B$10="","",SUMIFS(Bills!$K$8:$K$507,Bills!$D$8:$D$507,$B10,Bills!$K$8:$K$507,"&gt;0",Bills!$U$8:$U$507,"&gt;="&amp;1,Bills!$U$8:$U$507,"&lt;="&amp;30))</f>
        <v>0</v>
      </c>
      <c r="F10" s="46" t="n">
        <f aca="false">IF(Suppliers!$B$10="","",SUMIFS(Bills!$K$8:$K$507,Bills!$D$8:$D$507,$B10,Bills!$K$8:$K$507,"&gt;0",Bills!$U$8:$U$507,"&gt;="&amp;31,Bills!$U$8:$U$507,"&lt;="&amp;60))</f>
        <v>0</v>
      </c>
      <c r="G10" s="46" t="n">
        <f aca="false">IF(Suppliers!$B$10="","",SUMIFS(Bills!$K$8:$K$507,Bills!$D$8:$D$507,$B10,Bills!$K$8:$K$507,"&gt;0",Bills!$U$8:$U$507,"&gt;="&amp;61,Bills!$U$8:$U$507,"&lt;="&amp;90))</f>
        <v>0</v>
      </c>
      <c r="H10" s="46" t="n">
        <f aca="false">IF(Suppliers!$B$10="","",SUMIFS(Bills!$K$8:$K$507,Bills!$D$8:$D$507,$B10,Bills!$K$8:$K$507,"&gt;0",Bills!$U$8:$U$507,"&gt;="&amp;91))</f>
        <v>0</v>
      </c>
      <c r="I10" s="67" t="n">
        <f aca="false">IF(Suppliers!$B$10="","",MAX(0,Suppliers!$R$10-SUMIFS(Bills!$P$8:$P$507,Bills!$D$8:$D$507,$B10)))</f>
        <v>0</v>
      </c>
      <c r="J10" s="55" t="str">
        <f aca="false">IF(Suppliers!$B$10="","",IF(COUNTIFS(Bills!$D$8:$D$507,$B10,Bills!$U$8:$U$507,"&gt;0")=0,"",SUMPRODUCT(MAX((Bills!$D$8:$D$507=$B10)*Bills!$U$8:$U$507))))</f>
        <v/>
      </c>
      <c r="K10" s="54" t="n">
        <f aca="false">IF(Suppliers!$B$10="","",IF(COUNTIF(Payments!$C$8:$C$507,$B10)=0,"–",SUMPRODUCT(MAX((Payments!$C$8:$C$507=$B10)*Payments!$B$8:$B$507))))</f>
        <v>46304</v>
      </c>
      <c r="L10" s="63" t="str">
        <f aca="false">IF(Suppliers!$B$10="","",Suppliers!$F$10&amp;"")</f>
        <v>Medium</v>
      </c>
      <c r="M10" s="49" t="str">
        <f aca="false">IF(Suppliers!$B$10="","",Suppliers!$N$10)</f>
        <v>Within credit</v>
      </c>
      <c r="N10" s="9" t="n">
        <f aca="false">IF(B10="",-1,N(H10)+N(G10)+N(F10)+N(E10)+ROW()/1000000)</f>
        <v>1E-005</v>
      </c>
    </row>
    <row r="11" customFormat="false" ht="15" hidden="false" customHeight="false" outlineLevel="0" collapsed="false">
      <c r="A11" s="40" t="n">
        <f aca="false">IF(Suppliers!$B$11="","",5)</f>
        <v>5</v>
      </c>
      <c r="B11" s="65" t="str">
        <f aca="false">IF(Suppliers!$B$11="","",Suppliers!$B$11)</f>
        <v>Kaur Packaging</v>
      </c>
      <c r="C11" s="66" t="n">
        <f aca="false">IF(Suppliers!$B$11="","",Suppliers!$K$11)</f>
        <v>10030</v>
      </c>
      <c r="D11" s="46" t="n">
        <f aca="false">IF(Suppliers!$B$11="","",SUMIFS(Bills!$K$8:$K$507,Bills!$D$8:$D$507,$B11,Bills!$K$8:$K$507,"&gt;0",Bills!$U$8:$U$507,0))</f>
        <v>10030</v>
      </c>
      <c r="E11" s="46" t="n">
        <f aca="false">IF(Suppliers!$B$11="","",SUMIFS(Bills!$K$8:$K$507,Bills!$D$8:$D$507,$B11,Bills!$K$8:$K$507,"&gt;0",Bills!$U$8:$U$507,"&gt;="&amp;1,Bills!$U$8:$U$507,"&lt;="&amp;30))</f>
        <v>0</v>
      </c>
      <c r="F11" s="46" t="n">
        <f aca="false">IF(Suppliers!$B$11="","",SUMIFS(Bills!$K$8:$K$507,Bills!$D$8:$D$507,$B11,Bills!$K$8:$K$507,"&gt;0",Bills!$U$8:$U$507,"&gt;="&amp;31,Bills!$U$8:$U$507,"&lt;="&amp;60))</f>
        <v>0</v>
      </c>
      <c r="G11" s="46" t="n">
        <f aca="false">IF(Suppliers!$B$11="","",SUMIFS(Bills!$K$8:$K$507,Bills!$D$8:$D$507,$B11,Bills!$K$8:$K$507,"&gt;0",Bills!$U$8:$U$507,"&gt;="&amp;61,Bills!$U$8:$U$507,"&lt;="&amp;90))</f>
        <v>0</v>
      </c>
      <c r="H11" s="46" t="n">
        <f aca="false">IF(Suppliers!$B$11="","",SUMIFS(Bills!$K$8:$K$507,Bills!$D$8:$D$507,$B11,Bills!$K$8:$K$507,"&gt;0",Bills!$U$8:$U$507,"&gt;="&amp;91))</f>
        <v>0</v>
      </c>
      <c r="I11" s="67" t="n">
        <f aca="false">IF(Suppliers!$B$11="","",MAX(0,Suppliers!$R$11-SUMIFS(Bills!$P$8:$P$507,Bills!$D$8:$D$507,$B11)))</f>
        <v>0</v>
      </c>
      <c r="J11" s="55" t="str">
        <f aca="false">IF(Suppliers!$B$11="","",IF(COUNTIFS(Bills!$D$8:$D$507,$B11,Bills!$U$8:$U$507,"&gt;0")=0,"",SUMPRODUCT(MAX((Bills!$D$8:$D$507=$B11)*Bills!$U$8:$U$507))))</f>
        <v/>
      </c>
      <c r="K11" s="54" t="n">
        <f aca="false">IF(Suppliers!$B$11="","",IF(COUNTIF(Payments!$C$8:$C$507,$B11)=0,"–",SUMPRODUCT(MAX((Payments!$C$8:$C$507=$B11)*Payments!$B$8:$B$507))))</f>
        <v>46285</v>
      </c>
      <c r="L11" s="63" t="str">
        <f aca="false">IF(Suppliers!$B$11="","",Suppliers!$F$11&amp;"")</f>
        <v>Micro</v>
      </c>
      <c r="M11" s="49" t="str">
        <f aca="false">IF(Suppliers!$B$11="","",Suppliers!$N$11)</f>
        <v>⚠ MSME deadline</v>
      </c>
      <c r="N11" s="9" t="n">
        <f aca="false">IF(B11="",-1,N(H11)+N(G11)+N(F11)+N(E11)+ROW()/1000000)</f>
        <v>1.1E-005</v>
      </c>
    </row>
    <row r="12" customFormat="false" ht="15" hidden="false" customHeight="false" outlineLevel="0" collapsed="false">
      <c r="A12" s="40" t="n">
        <f aca="false">IF(Suppliers!$B$12="","",6)</f>
        <v>6</v>
      </c>
      <c r="B12" s="65" t="str">
        <f aca="false">IF(Suppliers!$B$12="","",Suppliers!$B$12)</f>
        <v>Delhi Switchgear</v>
      </c>
      <c r="C12" s="66" t="n">
        <f aca="false">IF(Suppliers!$B$12="","",Suppliers!$K$12)</f>
        <v>21240</v>
      </c>
      <c r="D12" s="46" t="n">
        <f aca="false">IF(Suppliers!$B$12="","",SUMIFS(Bills!$K$8:$K$507,Bills!$D$8:$D$507,$B12,Bills!$K$8:$K$507,"&gt;0",Bills!$U$8:$U$507,0))</f>
        <v>21240</v>
      </c>
      <c r="E12" s="46" t="n">
        <f aca="false">IF(Suppliers!$B$12="","",SUMIFS(Bills!$K$8:$K$507,Bills!$D$8:$D$507,$B12,Bills!$K$8:$K$507,"&gt;0",Bills!$U$8:$U$507,"&gt;="&amp;1,Bills!$U$8:$U$507,"&lt;="&amp;30))</f>
        <v>0</v>
      </c>
      <c r="F12" s="46" t="n">
        <f aca="false">IF(Suppliers!$B$12="","",SUMIFS(Bills!$K$8:$K$507,Bills!$D$8:$D$507,$B12,Bills!$K$8:$K$507,"&gt;0",Bills!$U$8:$U$507,"&gt;="&amp;31,Bills!$U$8:$U$507,"&lt;="&amp;60))</f>
        <v>0</v>
      </c>
      <c r="G12" s="46" t="n">
        <f aca="false">IF(Suppliers!$B$12="","",SUMIFS(Bills!$K$8:$K$507,Bills!$D$8:$D$507,$B12,Bills!$K$8:$K$507,"&gt;0",Bills!$U$8:$U$507,"&gt;="&amp;61,Bills!$U$8:$U$507,"&lt;="&amp;90))</f>
        <v>0</v>
      </c>
      <c r="H12" s="46" t="n">
        <f aca="false">IF(Suppliers!$B$12="","",SUMIFS(Bills!$K$8:$K$507,Bills!$D$8:$D$507,$B12,Bills!$K$8:$K$507,"&gt;0",Bills!$U$8:$U$507,"&gt;="&amp;91))</f>
        <v>0</v>
      </c>
      <c r="I12" s="67" t="n">
        <f aca="false">IF(Suppliers!$B$12="","",MAX(0,Suppliers!$R$12-SUMIFS(Bills!$P$8:$P$507,Bills!$D$8:$D$507,$B12)))</f>
        <v>0</v>
      </c>
      <c r="J12" s="55" t="str">
        <f aca="false">IF(Suppliers!$B$12="","",IF(COUNTIFS(Bills!$D$8:$D$507,$B12,Bills!$U$8:$U$507,"&gt;0")=0,"",SUMPRODUCT(MAX((Bills!$D$8:$D$507=$B12)*Bills!$U$8:$U$507))))</f>
        <v/>
      </c>
      <c r="K12" s="54" t="n">
        <f aca="false">IF(Suppliers!$B$12="","",IF(COUNTIF(Payments!$C$8:$C$507,$B12)=0,"–",SUMPRODUCT(MAX((Payments!$C$8:$C$507=$B12)*Payments!$B$8:$B$507))))</f>
        <v>46300</v>
      </c>
      <c r="L12" s="63" t="str">
        <f aca="false">IF(Suppliers!$B$12="","",Suppliers!$F$12&amp;"")</f>
        <v>Not MSME</v>
      </c>
      <c r="M12" s="49" t="str">
        <f aca="false">IF(Suppliers!$B$12="","",Suppliers!$N$12)</f>
        <v>Within credit</v>
      </c>
      <c r="N12" s="9" t="n">
        <f aca="false">IF(B12="",-1,N(H12)+N(G12)+N(F12)+N(E12)+ROW()/1000000)</f>
        <v>1.2E-005</v>
      </c>
    </row>
    <row r="13" customFormat="false" ht="15" hidden="false" customHeight="false" outlineLevel="0" collapsed="false">
      <c r="A13" s="40" t="str">
        <f aca="false">IF(Suppliers!$B$13="","",7)</f>
        <v/>
      </c>
      <c r="B13" s="65" t="str">
        <f aca="false">IF(Suppliers!$B$13="","",Suppliers!$B$13)</f>
        <v/>
      </c>
      <c r="C13" s="66" t="str">
        <f aca="false">IF(Suppliers!$B$13="","",Suppliers!$K$13)</f>
        <v/>
      </c>
      <c r="D13" s="46" t="str">
        <f aca="false">IF(Suppliers!$B$13="","",SUMIFS(Bills!$K$8:$K$507,Bills!$D$8:$D$507,$B13,Bills!$K$8:$K$507,"&gt;0",Bills!$U$8:$U$507,0))</f>
        <v/>
      </c>
      <c r="E13" s="46" t="str">
        <f aca="false">IF(Suppliers!$B$13="","",SUMIFS(Bills!$K$8:$K$507,Bills!$D$8:$D$507,$B13,Bills!$K$8:$K$507,"&gt;0",Bills!$U$8:$U$507,"&gt;="&amp;1,Bills!$U$8:$U$507,"&lt;="&amp;30))</f>
        <v/>
      </c>
      <c r="F13" s="46" t="str">
        <f aca="false">IF(Suppliers!$B$13="","",SUMIFS(Bills!$K$8:$K$507,Bills!$D$8:$D$507,$B13,Bills!$K$8:$K$507,"&gt;0",Bills!$U$8:$U$507,"&gt;="&amp;31,Bills!$U$8:$U$507,"&lt;="&amp;60))</f>
        <v/>
      </c>
      <c r="G13" s="46" t="str">
        <f aca="false">IF(Suppliers!$B$13="","",SUMIFS(Bills!$K$8:$K$507,Bills!$D$8:$D$507,$B13,Bills!$K$8:$K$507,"&gt;0",Bills!$U$8:$U$507,"&gt;="&amp;61,Bills!$U$8:$U$507,"&lt;="&amp;90))</f>
        <v/>
      </c>
      <c r="H13" s="46" t="str">
        <f aca="false">IF(Suppliers!$B$13="","",SUMIFS(Bills!$K$8:$K$507,Bills!$D$8:$D$507,$B13,Bills!$K$8:$K$507,"&gt;0",Bills!$U$8:$U$507,"&gt;="&amp;91))</f>
        <v/>
      </c>
      <c r="I13" s="67" t="str">
        <f aca="false">IF(Suppliers!$B$13="","",MAX(0,Suppliers!$R$13-SUMIFS(Bills!$P$8:$P$507,Bills!$D$8:$D$507,$B13)))</f>
        <v/>
      </c>
      <c r="J13" s="55" t="str">
        <f aca="false">IF(Suppliers!$B$13="","",IF(COUNTIFS(Bills!$D$8:$D$507,$B13,Bills!$U$8:$U$507,"&gt;0")=0,"",SUMPRODUCT(MAX((Bills!$D$8:$D$507=$B13)*Bills!$U$8:$U$507))))</f>
        <v/>
      </c>
      <c r="K13" s="54" t="str">
        <f aca="false">IF(Suppliers!$B$13="","",IF(COUNTIF(Payments!$C$8:$C$507,$B13)=0,"–",SUMPRODUCT(MAX((Payments!$C$8:$C$507=$B13)*Payments!$B$8:$B$507))))</f>
        <v/>
      </c>
      <c r="L13" s="63" t="str">
        <f aca="false">IF(Suppliers!$B$13="","",Suppliers!$F$13&amp;"")</f>
        <v/>
      </c>
      <c r="M13" s="49" t="str">
        <f aca="false">IF(Suppliers!$B$13="","",Suppliers!$N$13)</f>
        <v/>
      </c>
      <c r="N13" s="9" t="n">
        <f aca="false">IF(B13="",-1,N(H13)+N(G13)+N(F13)+N(E13)+ROW()/1000000)</f>
        <v>-1</v>
      </c>
    </row>
    <row r="14" customFormat="false" ht="15" hidden="false" customHeight="false" outlineLevel="0" collapsed="false">
      <c r="A14" s="40" t="str">
        <f aca="false">IF(Suppliers!$B$14="","",8)</f>
        <v/>
      </c>
      <c r="B14" s="65" t="str">
        <f aca="false">IF(Suppliers!$B$14="","",Suppliers!$B$14)</f>
        <v/>
      </c>
      <c r="C14" s="66" t="str">
        <f aca="false">IF(Suppliers!$B$14="","",Suppliers!$K$14)</f>
        <v/>
      </c>
      <c r="D14" s="46" t="str">
        <f aca="false">IF(Suppliers!$B$14="","",SUMIFS(Bills!$K$8:$K$507,Bills!$D$8:$D$507,$B14,Bills!$K$8:$K$507,"&gt;0",Bills!$U$8:$U$507,0))</f>
        <v/>
      </c>
      <c r="E14" s="46" t="str">
        <f aca="false">IF(Suppliers!$B$14="","",SUMIFS(Bills!$K$8:$K$507,Bills!$D$8:$D$507,$B14,Bills!$K$8:$K$507,"&gt;0",Bills!$U$8:$U$507,"&gt;="&amp;1,Bills!$U$8:$U$507,"&lt;="&amp;30))</f>
        <v/>
      </c>
      <c r="F14" s="46" t="str">
        <f aca="false">IF(Suppliers!$B$14="","",SUMIFS(Bills!$K$8:$K$507,Bills!$D$8:$D$507,$B14,Bills!$K$8:$K$507,"&gt;0",Bills!$U$8:$U$507,"&gt;="&amp;31,Bills!$U$8:$U$507,"&lt;="&amp;60))</f>
        <v/>
      </c>
      <c r="G14" s="46" t="str">
        <f aca="false">IF(Suppliers!$B$14="","",SUMIFS(Bills!$K$8:$K$507,Bills!$D$8:$D$507,$B14,Bills!$K$8:$K$507,"&gt;0",Bills!$U$8:$U$507,"&gt;="&amp;61,Bills!$U$8:$U$507,"&lt;="&amp;90))</f>
        <v/>
      </c>
      <c r="H14" s="46" t="str">
        <f aca="false">IF(Suppliers!$B$14="","",SUMIFS(Bills!$K$8:$K$507,Bills!$D$8:$D$507,$B14,Bills!$K$8:$K$507,"&gt;0",Bills!$U$8:$U$507,"&gt;="&amp;91))</f>
        <v/>
      </c>
      <c r="I14" s="67" t="str">
        <f aca="false">IF(Suppliers!$B$14="","",MAX(0,Suppliers!$R$14-SUMIFS(Bills!$P$8:$P$507,Bills!$D$8:$D$507,$B14)))</f>
        <v/>
      </c>
      <c r="J14" s="55" t="str">
        <f aca="false">IF(Suppliers!$B$14="","",IF(COUNTIFS(Bills!$D$8:$D$507,$B14,Bills!$U$8:$U$507,"&gt;0")=0,"",SUMPRODUCT(MAX((Bills!$D$8:$D$507=$B14)*Bills!$U$8:$U$507))))</f>
        <v/>
      </c>
      <c r="K14" s="54" t="str">
        <f aca="false">IF(Suppliers!$B$14="","",IF(COUNTIF(Payments!$C$8:$C$507,$B14)=0,"–",SUMPRODUCT(MAX((Payments!$C$8:$C$507=$B14)*Payments!$B$8:$B$507))))</f>
        <v/>
      </c>
      <c r="L14" s="63" t="str">
        <f aca="false">IF(Suppliers!$B$14="","",Suppliers!$F$14&amp;"")</f>
        <v/>
      </c>
      <c r="M14" s="49" t="str">
        <f aca="false">IF(Suppliers!$B$14="","",Suppliers!$N$14)</f>
        <v/>
      </c>
      <c r="N14" s="9" t="n">
        <f aca="false">IF(B14="",-1,N(H14)+N(G14)+N(F14)+N(E14)+ROW()/1000000)</f>
        <v>-1</v>
      </c>
    </row>
    <row r="15" customFormat="false" ht="15" hidden="false" customHeight="false" outlineLevel="0" collapsed="false">
      <c r="A15" s="40" t="str">
        <f aca="false">IF(Suppliers!$B$15="","",9)</f>
        <v/>
      </c>
      <c r="B15" s="65" t="str">
        <f aca="false">IF(Suppliers!$B$15="","",Suppliers!$B$15)</f>
        <v/>
      </c>
      <c r="C15" s="66" t="str">
        <f aca="false">IF(Suppliers!$B$15="","",Suppliers!$K$15)</f>
        <v/>
      </c>
      <c r="D15" s="46" t="str">
        <f aca="false">IF(Suppliers!$B$15="","",SUMIFS(Bills!$K$8:$K$507,Bills!$D$8:$D$507,$B15,Bills!$K$8:$K$507,"&gt;0",Bills!$U$8:$U$507,0))</f>
        <v/>
      </c>
      <c r="E15" s="46" t="str">
        <f aca="false">IF(Suppliers!$B$15="","",SUMIFS(Bills!$K$8:$K$507,Bills!$D$8:$D$507,$B15,Bills!$K$8:$K$507,"&gt;0",Bills!$U$8:$U$507,"&gt;="&amp;1,Bills!$U$8:$U$507,"&lt;="&amp;30))</f>
        <v/>
      </c>
      <c r="F15" s="46" t="str">
        <f aca="false">IF(Suppliers!$B$15="","",SUMIFS(Bills!$K$8:$K$507,Bills!$D$8:$D$507,$B15,Bills!$K$8:$K$507,"&gt;0",Bills!$U$8:$U$507,"&gt;="&amp;31,Bills!$U$8:$U$507,"&lt;="&amp;60))</f>
        <v/>
      </c>
      <c r="G15" s="46" t="str">
        <f aca="false">IF(Suppliers!$B$15="","",SUMIFS(Bills!$K$8:$K$507,Bills!$D$8:$D$507,$B15,Bills!$K$8:$K$507,"&gt;0",Bills!$U$8:$U$507,"&gt;="&amp;61,Bills!$U$8:$U$507,"&lt;="&amp;90))</f>
        <v/>
      </c>
      <c r="H15" s="46" t="str">
        <f aca="false">IF(Suppliers!$B$15="","",SUMIFS(Bills!$K$8:$K$507,Bills!$D$8:$D$507,$B15,Bills!$K$8:$K$507,"&gt;0",Bills!$U$8:$U$507,"&gt;="&amp;91))</f>
        <v/>
      </c>
      <c r="I15" s="67" t="str">
        <f aca="false">IF(Suppliers!$B$15="","",MAX(0,Suppliers!$R$15-SUMIFS(Bills!$P$8:$P$507,Bills!$D$8:$D$507,$B15)))</f>
        <v/>
      </c>
      <c r="J15" s="55" t="str">
        <f aca="false">IF(Suppliers!$B$15="","",IF(COUNTIFS(Bills!$D$8:$D$507,$B15,Bills!$U$8:$U$507,"&gt;0")=0,"",SUMPRODUCT(MAX((Bills!$D$8:$D$507=$B15)*Bills!$U$8:$U$507))))</f>
        <v/>
      </c>
      <c r="K15" s="54" t="str">
        <f aca="false">IF(Suppliers!$B$15="","",IF(COUNTIF(Payments!$C$8:$C$507,$B15)=0,"–",SUMPRODUCT(MAX((Payments!$C$8:$C$507=$B15)*Payments!$B$8:$B$507))))</f>
        <v/>
      </c>
      <c r="L15" s="63" t="str">
        <f aca="false">IF(Suppliers!$B$15="","",Suppliers!$F$15&amp;"")</f>
        <v/>
      </c>
      <c r="M15" s="49" t="str">
        <f aca="false">IF(Suppliers!$B$15="","",Suppliers!$N$15)</f>
        <v/>
      </c>
      <c r="N15" s="9" t="n">
        <f aca="false">IF(B15="",-1,N(H15)+N(G15)+N(F15)+N(E15)+ROW()/1000000)</f>
        <v>-1</v>
      </c>
    </row>
    <row r="16" customFormat="false" ht="15" hidden="false" customHeight="false" outlineLevel="0" collapsed="false">
      <c r="A16" s="40" t="str">
        <f aca="false">IF(Suppliers!$B$16="","",10)</f>
        <v/>
      </c>
      <c r="B16" s="65" t="str">
        <f aca="false">IF(Suppliers!$B$16="","",Suppliers!$B$16)</f>
        <v/>
      </c>
      <c r="C16" s="66" t="str">
        <f aca="false">IF(Suppliers!$B$16="","",Suppliers!$K$16)</f>
        <v/>
      </c>
      <c r="D16" s="46" t="str">
        <f aca="false">IF(Suppliers!$B$16="","",SUMIFS(Bills!$K$8:$K$507,Bills!$D$8:$D$507,$B16,Bills!$K$8:$K$507,"&gt;0",Bills!$U$8:$U$507,0))</f>
        <v/>
      </c>
      <c r="E16" s="46" t="str">
        <f aca="false">IF(Suppliers!$B$16="","",SUMIFS(Bills!$K$8:$K$507,Bills!$D$8:$D$507,$B16,Bills!$K$8:$K$507,"&gt;0",Bills!$U$8:$U$507,"&gt;="&amp;1,Bills!$U$8:$U$507,"&lt;="&amp;30))</f>
        <v/>
      </c>
      <c r="F16" s="46" t="str">
        <f aca="false">IF(Suppliers!$B$16="","",SUMIFS(Bills!$K$8:$K$507,Bills!$D$8:$D$507,$B16,Bills!$K$8:$K$507,"&gt;0",Bills!$U$8:$U$507,"&gt;="&amp;31,Bills!$U$8:$U$507,"&lt;="&amp;60))</f>
        <v/>
      </c>
      <c r="G16" s="46" t="str">
        <f aca="false">IF(Suppliers!$B$16="","",SUMIFS(Bills!$K$8:$K$507,Bills!$D$8:$D$507,$B16,Bills!$K$8:$K$507,"&gt;0",Bills!$U$8:$U$507,"&gt;="&amp;61,Bills!$U$8:$U$507,"&lt;="&amp;90))</f>
        <v/>
      </c>
      <c r="H16" s="46" t="str">
        <f aca="false">IF(Suppliers!$B$16="","",SUMIFS(Bills!$K$8:$K$507,Bills!$D$8:$D$507,$B16,Bills!$K$8:$K$507,"&gt;0",Bills!$U$8:$U$507,"&gt;="&amp;91))</f>
        <v/>
      </c>
      <c r="I16" s="67" t="str">
        <f aca="false">IF(Suppliers!$B$16="","",MAX(0,Suppliers!$R$16-SUMIFS(Bills!$P$8:$P$507,Bills!$D$8:$D$507,$B16)))</f>
        <v/>
      </c>
      <c r="J16" s="55" t="str">
        <f aca="false">IF(Suppliers!$B$16="","",IF(COUNTIFS(Bills!$D$8:$D$507,$B16,Bills!$U$8:$U$507,"&gt;0")=0,"",SUMPRODUCT(MAX((Bills!$D$8:$D$507=$B16)*Bills!$U$8:$U$507))))</f>
        <v/>
      </c>
      <c r="K16" s="54" t="str">
        <f aca="false">IF(Suppliers!$B$16="","",IF(COUNTIF(Payments!$C$8:$C$507,$B16)=0,"–",SUMPRODUCT(MAX((Payments!$C$8:$C$507=$B16)*Payments!$B$8:$B$507))))</f>
        <v/>
      </c>
      <c r="L16" s="63" t="str">
        <f aca="false">IF(Suppliers!$B$16="","",Suppliers!$F$16&amp;"")</f>
        <v/>
      </c>
      <c r="M16" s="49" t="str">
        <f aca="false">IF(Suppliers!$B$16="","",Suppliers!$N$16)</f>
        <v/>
      </c>
      <c r="N16" s="9" t="n">
        <f aca="false">IF(B16="",-1,N(H16)+N(G16)+N(F16)+N(E16)+ROW()/1000000)</f>
        <v>-1</v>
      </c>
    </row>
    <row r="17" customFormat="false" ht="15" hidden="false" customHeight="false" outlineLevel="0" collapsed="false">
      <c r="A17" s="40" t="str">
        <f aca="false">IF(Suppliers!$B$17="","",11)</f>
        <v/>
      </c>
      <c r="B17" s="65" t="str">
        <f aca="false">IF(Suppliers!$B$17="","",Suppliers!$B$17)</f>
        <v/>
      </c>
      <c r="C17" s="66" t="str">
        <f aca="false">IF(Suppliers!$B$17="","",Suppliers!$K$17)</f>
        <v/>
      </c>
      <c r="D17" s="46" t="str">
        <f aca="false">IF(Suppliers!$B$17="","",SUMIFS(Bills!$K$8:$K$507,Bills!$D$8:$D$507,$B17,Bills!$K$8:$K$507,"&gt;0",Bills!$U$8:$U$507,0))</f>
        <v/>
      </c>
      <c r="E17" s="46" t="str">
        <f aca="false">IF(Suppliers!$B$17="","",SUMIFS(Bills!$K$8:$K$507,Bills!$D$8:$D$507,$B17,Bills!$K$8:$K$507,"&gt;0",Bills!$U$8:$U$507,"&gt;="&amp;1,Bills!$U$8:$U$507,"&lt;="&amp;30))</f>
        <v/>
      </c>
      <c r="F17" s="46" t="str">
        <f aca="false">IF(Suppliers!$B$17="","",SUMIFS(Bills!$K$8:$K$507,Bills!$D$8:$D$507,$B17,Bills!$K$8:$K$507,"&gt;0",Bills!$U$8:$U$507,"&gt;="&amp;31,Bills!$U$8:$U$507,"&lt;="&amp;60))</f>
        <v/>
      </c>
      <c r="G17" s="46" t="str">
        <f aca="false">IF(Suppliers!$B$17="","",SUMIFS(Bills!$K$8:$K$507,Bills!$D$8:$D$507,$B17,Bills!$K$8:$K$507,"&gt;0",Bills!$U$8:$U$507,"&gt;="&amp;61,Bills!$U$8:$U$507,"&lt;="&amp;90))</f>
        <v/>
      </c>
      <c r="H17" s="46" t="str">
        <f aca="false">IF(Suppliers!$B$17="","",SUMIFS(Bills!$K$8:$K$507,Bills!$D$8:$D$507,$B17,Bills!$K$8:$K$507,"&gt;0",Bills!$U$8:$U$507,"&gt;="&amp;91))</f>
        <v/>
      </c>
      <c r="I17" s="67" t="str">
        <f aca="false">IF(Suppliers!$B$17="","",MAX(0,Suppliers!$R$17-SUMIFS(Bills!$P$8:$P$507,Bills!$D$8:$D$507,$B17)))</f>
        <v/>
      </c>
      <c r="J17" s="55" t="str">
        <f aca="false">IF(Suppliers!$B$17="","",IF(COUNTIFS(Bills!$D$8:$D$507,$B17,Bills!$U$8:$U$507,"&gt;0")=0,"",SUMPRODUCT(MAX((Bills!$D$8:$D$507=$B17)*Bills!$U$8:$U$507))))</f>
        <v/>
      </c>
      <c r="K17" s="54" t="str">
        <f aca="false">IF(Suppliers!$B$17="","",IF(COUNTIF(Payments!$C$8:$C$507,$B17)=0,"–",SUMPRODUCT(MAX((Payments!$C$8:$C$507=$B17)*Payments!$B$8:$B$507))))</f>
        <v/>
      </c>
      <c r="L17" s="63" t="str">
        <f aca="false">IF(Suppliers!$B$17="","",Suppliers!$F$17&amp;"")</f>
        <v/>
      </c>
      <c r="M17" s="49" t="str">
        <f aca="false">IF(Suppliers!$B$17="","",Suppliers!$N$17)</f>
        <v/>
      </c>
      <c r="N17" s="9" t="n">
        <f aca="false">IF(B17="",-1,N(H17)+N(G17)+N(F17)+N(E17)+ROW()/1000000)</f>
        <v>-1</v>
      </c>
    </row>
    <row r="18" customFormat="false" ht="15" hidden="false" customHeight="false" outlineLevel="0" collapsed="false">
      <c r="A18" s="40" t="str">
        <f aca="false">IF(Suppliers!$B$18="","",12)</f>
        <v/>
      </c>
      <c r="B18" s="65" t="str">
        <f aca="false">IF(Suppliers!$B$18="","",Suppliers!$B$18)</f>
        <v/>
      </c>
      <c r="C18" s="66" t="str">
        <f aca="false">IF(Suppliers!$B$18="","",Suppliers!$K$18)</f>
        <v/>
      </c>
      <c r="D18" s="46" t="str">
        <f aca="false">IF(Suppliers!$B$18="","",SUMIFS(Bills!$K$8:$K$507,Bills!$D$8:$D$507,$B18,Bills!$K$8:$K$507,"&gt;0",Bills!$U$8:$U$507,0))</f>
        <v/>
      </c>
      <c r="E18" s="46" t="str">
        <f aca="false">IF(Suppliers!$B$18="","",SUMIFS(Bills!$K$8:$K$507,Bills!$D$8:$D$507,$B18,Bills!$K$8:$K$507,"&gt;0",Bills!$U$8:$U$507,"&gt;="&amp;1,Bills!$U$8:$U$507,"&lt;="&amp;30))</f>
        <v/>
      </c>
      <c r="F18" s="46" t="str">
        <f aca="false">IF(Suppliers!$B$18="","",SUMIFS(Bills!$K$8:$K$507,Bills!$D$8:$D$507,$B18,Bills!$K$8:$K$507,"&gt;0",Bills!$U$8:$U$507,"&gt;="&amp;31,Bills!$U$8:$U$507,"&lt;="&amp;60))</f>
        <v/>
      </c>
      <c r="G18" s="46" t="str">
        <f aca="false">IF(Suppliers!$B$18="","",SUMIFS(Bills!$K$8:$K$507,Bills!$D$8:$D$507,$B18,Bills!$K$8:$K$507,"&gt;0",Bills!$U$8:$U$507,"&gt;="&amp;61,Bills!$U$8:$U$507,"&lt;="&amp;90))</f>
        <v/>
      </c>
      <c r="H18" s="46" t="str">
        <f aca="false">IF(Suppliers!$B$18="","",SUMIFS(Bills!$K$8:$K$507,Bills!$D$8:$D$507,$B18,Bills!$K$8:$K$507,"&gt;0",Bills!$U$8:$U$507,"&gt;="&amp;91))</f>
        <v/>
      </c>
      <c r="I18" s="67" t="str">
        <f aca="false">IF(Suppliers!$B$18="","",MAX(0,Suppliers!$R$18-SUMIFS(Bills!$P$8:$P$507,Bills!$D$8:$D$507,$B18)))</f>
        <v/>
      </c>
      <c r="J18" s="55" t="str">
        <f aca="false">IF(Suppliers!$B$18="","",IF(COUNTIFS(Bills!$D$8:$D$507,$B18,Bills!$U$8:$U$507,"&gt;0")=0,"",SUMPRODUCT(MAX((Bills!$D$8:$D$507=$B18)*Bills!$U$8:$U$507))))</f>
        <v/>
      </c>
      <c r="K18" s="54" t="str">
        <f aca="false">IF(Suppliers!$B$18="","",IF(COUNTIF(Payments!$C$8:$C$507,$B18)=0,"–",SUMPRODUCT(MAX((Payments!$C$8:$C$507=$B18)*Payments!$B$8:$B$507))))</f>
        <v/>
      </c>
      <c r="L18" s="63" t="str">
        <f aca="false">IF(Suppliers!$B$18="","",Suppliers!$F$18&amp;"")</f>
        <v/>
      </c>
      <c r="M18" s="49" t="str">
        <f aca="false">IF(Suppliers!$B$18="","",Suppliers!$N$18)</f>
        <v/>
      </c>
      <c r="N18" s="9" t="n">
        <f aca="false">IF(B18="",-1,N(H18)+N(G18)+N(F18)+N(E18)+ROW()/1000000)</f>
        <v>-1</v>
      </c>
    </row>
    <row r="19" customFormat="false" ht="15" hidden="false" customHeight="false" outlineLevel="0" collapsed="false">
      <c r="A19" s="40" t="str">
        <f aca="false">IF(Suppliers!$B$19="","",13)</f>
        <v/>
      </c>
      <c r="B19" s="65" t="str">
        <f aca="false">IF(Suppliers!$B$19="","",Suppliers!$B$19)</f>
        <v/>
      </c>
      <c r="C19" s="66" t="str">
        <f aca="false">IF(Suppliers!$B$19="","",Suppliers!$K$19)</f>
        <v/>
      </c>
      <c r="D19" s="46" t="str">
        <f aca="false">IF(Suppliers!$B$19="","",SUMIFS(Bills!$K$8:$K$507,Bills!$D$8:$D$507,$B19,Bills!$K$8:$K$507,"&gt;0",Bills!$U$8:$U$507,0))</f>
        <v/>
      </c>
      <c r="E19" s="46" t="str">
        <f aca="false">IF(Suppliers!$B$19="","",SUMIFS(Bills!$K$8:$K$507,Bills!$D$8:$D$507,$B19,Bills!$K$8:$K$507,"&gt;0",Bills!$U$8:$U$507,"&gt;="&amp;1,Bills!$U$8:$U$507,"&lt;="&amp;30))</f>
        <v/>
      </c>
      <c r="F19" s="46" t="str">
        <f aca="false">IF(Suppliers!$B$19="","",SUMIFS(Bills!$K$8:$K$507,Bills!$D$8:$D$507,$B19,Bills!$K$8:$K$507,"&gt;0",Bills!$U$8:$U$507,"&gt;="&amp;31,Bills!$U$8:$U$507,"&lt;="&amp;60))</f>
        <v/>
      </c>
      <c r="G19" s="46" t="str">
        <f aca="false">IF(Suppliers!$B$19="","",SUMIFS(Bills!$K$8:$K$507,Bills!$D$8:$D$507,$B19,Bills!$K$8:$K$507,"&gt;0",Bills!$U$8:$U$507,"&gt;="&amp;61,Bills!$U$8:$U$507,"&lt;="&amp;90))</f>
        <v/>
      </c>
      <c r="H19" s="46" t="str">
        <f aca="false">IF(Suppliers!$B$19="","",SUMIFS(Bills!$K$8:$K$507,Bills!$D$8:$D$507,$B19,Bills!$K$8:$K$507,"&gt;0",Bills!$U$8:$U$507,"&gt;="&amp;91))</f>
        <v/>
      </c>
      <c r="I19" s="67" t="str">
        <f aca="false">IF(Suppliers!$B$19="","",MAX(0,Suppliers!$R$19-SUMIFS(Bills!$P$8:$P$507,Bills!$D$8:$D$507,$B19)))</f>
        <v/>
      </c>
      <c r="J19" s="55" t="str">
        <f aca="false">IF(Suppliers!$B$19="","",IF(COUNTIFS(Bills!$D$8:$D$507,$B19,Bills!$U$8:$U$507,"&gt;0")=0,"",SUMPRODUCT(MAX((Bills!$D$8:$D$507=$B19)*Bills!$U$8:$U$507))))</f>
        <v/>
      </c>
      <c r="K19" s="54" t="str">
        <f aca="false">IF(Suppliers!$B$19="","",IF(COUNTIF(Payments!$C$8:$C$507,$B19)=0,"–",SUMPRODUCT(MAX((Payments!$C$8:$C$507=$B19)*Payments!$B$8:$B$507))))</f>
        <v/>
      </c>
      <c r="L19" s="63" t="str">
        <f aca="false">IF(Suppliers!$B$19="","",Suppliers!$F$19&amp;"")</f>
        <v/>
      </c>
      <c r="M19" s="49" t="str">
        <f aca="false">IF(Suppliers!$B$19="","",Suppliers!$N$19)</f>
        <v/>
      </c>
      <c r="N19" s="9" t="n">
        <f aca="false">IF(B19="",-1,N(H19)+N(G19)+N(F19)+N(E19)+ROW()/1000000)</f>
        <v>-1</v>
      </c>
    </row>
    <row r="20" customFormat="false" ht="15" hidden="false" customHeight="false" outlineLevel="0" collapsed="false">
      <c r="A20" s="40" t="str">
        <f aca="false">IF(Suppliers!$B$20="","",14)</f>
        <v/>
      </c>
      <c r="B20" s="65" t="str">
        <f aca="false">IF(Suppliers!$B$20="","",Suppliers!$B$20)</f>
        <v/>
      </c>
      <c r="C20" s="66" t="str">
        <f aca="false">IF(Suppliers!$B$20="","",Suppliers!$K$20)</f>
        <v/>
      </c>
      <c r="D20" s="46" t="str">
        <f aca="false">IF(Suppliers!$B$20="","",SUMIFS(Bills!$K$8:$K$507,Bills!$D$8:$D$507,$B20,Bills!$K$8:$K$507,"&gt;0",Bills!$U$8:$U$507,0))</f>
        <v/>
      </c>
      <c r="E20" s="46" t="str">
        <f aca="false">IF(Suppliers!$B$20="","",SUMIFS(Bills!$K$8:$K$507,Bills!$D$8:$D$507,$B20,Bills!$K$8:$K$507,"&gt;0",Bills!$U$8:$U$507,"&gt;="&amp;1,Bills!$U$8:$U$507,"&lt;="&amp;30))</f>
        <v/>
      </c>
      <c r="F20" s="46" t="str">
        <f aca="false">IF(Suppliers!$B$20="","",SUMIFS(Bills!$K$8:$K$507,Bills!$D$8:$D$507,$B20,Bills!$K$8:$K$507,"&gt;0",Bills!$U$8:$U$507,"&gt;="&amp;31,Bills!$U$8:$U$507,"&lt;="&amp;60))</f>
        <v/>
      </c>
      <c r="G20" s="46" t="str">
        <f aca="false">IF(Suppliers!$B$20="","",SUMIFS(Bills!$K$8:$K$507,Bills!$D$8:$D$507,$B20,Bills!$K$8:$K$507,"&gt;0",Bills!$U$8:$U$507,"&gt;="&amp;61,Bills!$U$8:$U$507,"&lt;="&amp;90))</f>
        <v/>
      </c>
      <c r="H20" s="46" t="str">
        <f aca="false">IF(Suppliers!$B$20="","",SUMIFS(Bills!$K$8:$K$507,Bills!$D$8:$D$507,$B20,Bills!$K$8:$K$507,"&gt;0",Bills!$U$8:$U$507,"&gt;="&amp;91))</f>
        <v/>
      </c>
      <c r="I20" s="67" t="str">
        <f aca="false">IF(Suppliers!$B$20="","",MAX(0,Suppliers!$R$20-SUMIFS(Bills!$P$8:$P$507,Bills!$D$8:$D$507,$B20)))</f>
        <v/>
      </c>
      <c r="J20" s="55" t="str">
        <f aca="false">IF(Suppliers!$B$20="","",IF(COUNTIFS(Bills!$D$8:$D$507,$B20,Bills!$U$8:$U$507,"&gt;0")=0,"",SUMPRODUCT(MAX((Bills!$D$8:$D$507=$B20)*Bills!$U$8:$U$507))))</f>
        <v/>
      </c>
      <c r="K20" s="54" t="str">
        <f aca="false">IF(Suppliers!$B$20="","",IF(COUNTIF(Payments!$C$8:$C$507,$B20)=0,"–",SUMPRODUCT(MAX((Payments!$C$8:$C$507=$B20)*Payments!$B$8:$B$507))))</f>
        <v/>
      </c>
      <c r="L20" s="63" t="str">
        <f aca="false">IF(Suppliers!$B$20="","",Suppliers!$F$20&amp;"")</f>
        <v/>
      </c>
      <c r="M20" s="49" t="str">
        <f aca="false">IF(Suppliers!$B$20="","",Suppliers!$N$20)</f>
        <v/>
      </c>
      <c r="N20" s="9" t="n">
        <f aca="false">IF(B20="",-1,N(H20)+N(G20)+N(F20)+N(E20)+ROW()/1000000)</f>
        <v>-1</v>
      </c>
    </row>
    <row r="21" customFormat="false" ht="15" hidden="false" customHeight="false" outlineLevel="0" collapsed="false">
      <c r="A21" s="40" t="str">
        <f aca="false">IF(Suppliers!$B$21="","",15)</f>
        <v/>
      </c>
      <c r="B21" s="65" t="str">
        <f aca="false">IF(Suppliers!$B$21="","",Suppliers!$B$21)</f>
        <v/>
      </c>
      <c r="C21" s="66" t="str">
        <f aca="false">IF(Suppliers!$B$21="","",Suppliers!$K$21)</f>
        <v/>
      </c>
      <c r="D21" s="46" t="str">
        <f aca="false">IF(Suppliers!$B$21="","",SUMIFS(Bills!$K$8:$K$507,Bills!$D$8:$D$507,$B21,Bills!$K$8:$K$507,"&gt;0",Bills!$U$8:$U$507,0))</f>
        <v/>
      </c>
      <c r="E21" s="46" t="str">
        <f aca="false">IF(Suppliers!$B$21="","",SUMIFS(Bills!$K$8:$K$507,Bills!$D$8:$D$507,$B21,Bills!$K$8:$K$507,"&gt;0",Bills!$U$8:$U$507,"&gt;="&amp;1,Bills!$U$8:$U$507,"&lt;="&amp;30))</f>
        <v/>
      </c>
      <c r="F21" s="46" t="str">
        <f aca="false">IF(Suppliers!$B$21="","",SUMIFS(Bills!$K$8:$K$507,Bills!$D$8:$D$507,$B21,Bills!$K$8:$K$507,"&gt;0",Bills!$U$8:$U$507,"&gt;="&amp;31,Bills!$U$8:$U$507,"&lt;="&amp;60))</f>
        <v/>
      </c>
      <c r="G21" s="46" t="str">
        <f aca="false">IF(Suppliers!$B$21="","",SUMIFS(Bills!$K$8:$K$507,Bills!$D$8:$D$507,$B21,Bills!$K$8:$K$507,"&gt;0",Bills!$U$8:$U$507,"&gt;="&amp;61,Bills!$U$8:$U$507,"&lt;="&amp;90))</f>
        <v/>
      </c>
      <c r="H21" s="46" t="str">
        <f aca="false">IF(Suppliers!$B$21="","",SUMIFS(Bills!$K$8:$K$507,Bills!$D$8:$D$507,$B21,Bills!$K$8:$K$507,"&gt;0",Bills!$U$8:$U$507,"&gt;="&amp;91))</f>
        <v/>
      </c>
      <c r="I21" s="67" t="str">
        <f aca="false">IF(Suppliers!$B$21="","",MAX(0,Suppliers!$R$21-SUMIFS(Bills!$P$8:$P$507,Bills!$D$8:$D$507,$B21)))</f>
        <v/>
      </c>
      <c r="J21" s="55" t="str">
        <f aca="false">IF(Suppliers!$B$21="","",IF(COUNTIFS(Bills!$D$8:$D$507,$B21,Bills!$U$8:$U$507,"&gt;0")=0,"",SUMPRODUCT(MAX((Bills!$D$8:$D$507=$B21)*Bills!$U$8:$U$507))))</f>
        <v/>
      </c>
      <c r="K21" s="54" t="str">
        <f aca="false">IF(Suppliers!$B$21="","",IF(COUNTIF(Payments!$C$8:$C$507,$B21)=0,"–",SUMPRODUCT(MAX((Payments!$C$8:$C$507=$B21)*Payments!$B$8:$B$507))))</f>
        <v/>
      </c>
      <c r="L21" s="63" t="str">
        <f aca="false">IF(Suppliers!$B$21="","",Suppliers!$F$21&amp;"")</f>
        <v/>
      </c>
      <c r="M21" s="49" t="str">
        <f aca="false">IF(Suppliers!$B$21="","",Suppliers!$N$21)</f>
        <v/>
      </c>
      <c r="N21" s="9" t="n">
        <f aca="false">IF(B21="",-1,N(H21)+N(G21)+N(F21)+N(E21)+ROW()/1000000)</f>
        <v>-1</v>
      </c>
    </row>
    <row r="22" customFormat="false" ht="15" hidden="false" customHeight="false" outlineLevel="0" collapsed="false">
      <c r="A22" s="40" t="str">
        <f aca="false">IF(Suppliers!$B$22="","",16)</f>
        <v/>
      </c>
      <c r="B22" s="65" t="str">
        <f aca="false">IF(Suppliers!$B$22="","",Suppliers!$B$22)</f>
        <v/>
      </c>
      <c r="C22" s="66" t="str">
        <f aca="false">IF(Suppliers!$B$22="","",Suppliers!$K$22)</f>
        <v/>
      </c>
      <c r="D22" s="46" t="str">
        <f aca="false">IF(Suppliers!$B$22="","",SUMIFS(Bills!$K$8:$K$507,Bills!$D$8:$D$507,$B22,Bills!$K$8:$K$507,"&gt;0",Bills!$U$8:$U$507,0))</f>
        <v/>
      </c>
      <c r="E22" s="46" t="str">
        <f aca="false">IF(Suppliers!$B$22="","",SUMIFS(Bills!$K$8:$K$507,Bills!$D$8:$D$507,$B22,Bills!$K$8:$K$507,"&gt;0",Bills!$U$8:$U$507,"&gt;="&amp;1,Bills!$U$8:$U$507,"&lt;="&amp;30))</f>
        <v/>
      </c>
      <c r="F22" s="46" t="str">
        <f aca="false">IF(Suppliers!$B$22="","",SUMIFS(Bills!$K$8:$K$507,Bills!$D$8:$D$507,$B22,Bills!$K$8:$K$507,"&gt;0",Bills!$U$8:$U$507,"&gt;="&amp;31,Bills!$U$8:$U$507,"&lt;="&amp;60))</f>
        <v/>
      </c>
      <c r="G22" s="46" t="str">
        <f aca="false">IF(Suppliers!$B$22="","",SUMIFS(Bills!$K$8:$K$507,Bills!$D$8:$D$507,$B22,Bills!$K$8:$K$507,"&gt;0",Bills!$U$8:$U$507,"&gt;="&amp;61,Bills!$U$8:$U$507,"&lt;="&amp;90))</f>
        <v/>
      </c>
      <c r="H22" s="46" t="str">
        <f aca="false">IF(Suppliers!$B$22="","",SUMIFS(Bills!$K$8:$K$507,Bills!$D$8:$D$507,$B22,Bills!$K$8:$K$507,"&gt;0",Bills!$U$8:$U$507,"&gt;="&amp;91))</f>
        <v/>
      </c>
      <c r="I22" s="67" t="str">
        <f aca="false">IF(Suppliers!$B$22="","",MAX(0,Suppliers!$R$22-SUMIFS(Bills!$P$8:$P$507,Bills!$D$8:$D$507,$B22)))</f>
        <v/>
      </c>
      <c r="J22" s="55" t="str">
        <f aca="false">IF(Suppliers!$B$22="","",IF(COUNTIFS(Bills!$D$8:$D$507,$B22,Bills!$U$8:$U$507,"&gt;0")=0,"",SUMPRODUCT(MAX((Bills!$D$8:$D$507=$B22)*Bills!$U$8:$U$507))))</f>
        <v/>
      </c>
      <c r="K22" s="54" t="str">
        <f aca="false">IF(Suppliers!$B$22="","",IF(COUNTIF(Payments!$C$8:$C$507,$B22)=0,"–",SUMPRODUCT(MAX((Payments!$C$8:$C$507=$B22)*Payments!$B$8:$B$507))))</f>
        <v/>
      </c>
      <c r="L22" s="63" t="str">
        <f aca="false">IF(Suppliers!$B$22="","",Suppliers!$F$22&amp;"")</f>
        <v/>
      </c>
      <c r="M22" s="49" t="str">
        <f aca="false">IF(Suppliers!$B$22="","",Suppliers!$N$22)</f>
        <v/>
      </c>
      <c r="N22" s="9" t="n">
        <f aca="false">IF(B22="",-1,N(H22)+N(G22)+N(F22)+N(E22)+ROW()/1000000)</f>
        <v>-1</v>
      </c>
    </row>
    <row r="23" customFormat="false" ht="15" hidden="false" customHeight="false" outlineLevel="0" collapsed="false">
      <c r="A23" s="40" t="str">
        <f aca="false">IF(Suppliers!$B$23="","",17)</f>
        <v/>
      </c>
      <c r="B23" s="65" t="str">
        <f aca="false">IF(Suppliers!$B$23="","",Suppliers!$B$23)</f>
        <v/>
      </c>
      <c r="C23" s="66" t="str">
        <f aca="false">IF(Suppliers!$B$23="","",Suppliers!$K$23)</f>
        <v/>
      </c>
      <c r="D23" s="46" t="str">
        <f aca="false">IF(Suppliers!$B$23="","",SUMIFS(Bills!$K$8:$K$507,Bills!$D$8:$D$507,$B23,Bills!$K$8:$K$507,"&gt;0",Bills!$U$8:$U$507,0))</f>
        <v/>
      </c>
      <c r="E23" s="46" t="str">
        <f aca="false">IF(Suppliers!$B$23="","",SUMIFS(Bills!$K$8:$K$507,Bills!$D$8:$D$507,$B23,Bills!$K$8:$K$507,"&gt;0",Bills!$U$8:$U$507,"&gt;="&amp;1,Bills!$U$8:$U$507,"&lt;="&amp;30))</f>
        <v/>
      </c>
      <c r="F23" s="46" t="str">
        <f aca="false">IF(Suppliers!$B$23="","",SUMIFS(Bills!$K$8:$K$507,Bills!$D$8:$D$507,$B23,Bills!$K$8:$K$507,"&gt;0",Bills!$U$8:$U$507,"&gt;="&amp;31,Bills!$U$8:$U$507,"&lt;="&amp;60))</f>
        <v/>
      </c>
      <c r="G23" s="46" t="str">
        <f aca="false">IF(Suppliers!$B$23="","",SUMIFS(Bills!$K$8:$K$507,Bills!$D$8:$D$507,$B23,Bills!$K$8:$K$507,"&gt;0",Bills!$U$8:$U$507,"&gt;="&amp;61,Bills!$U$8:$U$507,"&lt;="&amp;90))</f>
        <v/>
      </c>
      <c r="H23" s="46" t="str">
        <f aca="false">IF(Suppliers!$B$23="","",SUMIFS(Bills!$K$8:$K$507,Bills!$D$8:$D$507,$B23,Bills!$K$8:$K$507,"&gt;0",Bills!$U$8:$U$507,"&gt;="&amp;91))</f>
        <v/>
      </c>
      <c r="I23" s="67" t="str">
        <f aca="false">IF(Suppliers!$B$23="","",MAX(0,Suppliers!$R$23-SUMIFS(Bills!$P$8:$P$507,Bills!$D$8:$D$507,$B23)))</f>
        <v/>
      </c>
      <c r="J23" s="55" t="str">
        <f aca="false">IF(Suppliers!$B$23="","",IF(COUNTIFS(Bills!$D$8:$D$507,$B23,Bills!$U$8:$U$507,"&gt;0")=0,"",SUMPRODUCT(MAX((Bills!$D$8:$D$507=$B23)*Bills!$U$8:$U$507))))</f>
        <v/>
      </c>
      <c r="K23" s="54" t="str">
        <f aca="false">IF(Suppliers!$B$23="","",IF(COUNTIF(Payments!$C$8:$C$507,$B23)=0,"–",SUMPRODUCT(MAX((Payments!$C$8:$C$507=$B23)*Payments!$B$8:$B$507))))</f>
        <v/>
      </c>
      <c r="L23" s="63" t="str">
        <f aca="false">IF(Suppliers!$B$23="","",Suppliers!$F$23&amp;"")</f>
        <v/>
      </c>
      <c r="M23" s="49" t="str">
        <f aca="false">IF(Suppliers!$B$23="","",Suppliers!$N$23)</f>
        <v/>
      </c>
      <c r="N23" s="9" t="n">
        <f aca="false">IF(B23="",-1,N(H23)+N(G23)+N(F23)+N(E23)+ROW()/1000000)</f>
        <v>-1</v>
      </c>
    </row>
    <row r="24" customFormat="false" ht="15" hidden="false" customHeight="false" outlineLevel="0" collapsed="false">
      <c r="A24" s="40" t="str">
        <f aca="false">IF(Suppliers!$B$24="","",18)</f>
        <v/>
      </c>
      <c r="B24" s="65" t="str">
        <f aca="false">IF(Suppliers!$B$24="","",Suppliers!$B$24)</f>
        <v/>
      </c>
      <c r="C24" s="66" t="str">
        <f aca="false">IF(Suppliers!$B$24="","",Suppliers!$K$24)</f>
        <v/>
      </c>
      <c r="D24" s="46" t="str">
        <f aca="false">IF(Suppliers!$B$24="","",SUMIFS(Bills!$K$8:$K$507,Bills!$D$8:$D$507,$B24,Bills!$K$8:$K$507,"&gt;0",Bills!$U$8:$U$507,0))</f>
        <v/>
      </c>
      <c r="E24" s="46" t="str">
        <f aca="false">IF(Suppliers!$B$24="","",SUMIFS(Bills!$K$8:$K$507,Bills!$D$8:$D$507,$B24,Bills!$K$8:$K$507,"&gt;0",Bills!$U$8:$U$507,"&gt;="&amp;1,Bills!$U$8:$U$507,"&lt;="&amp;30))</f>
        <v/>
      </c>
      <c r="F24" s="46" t="str">
        <f aca="false">IF(Suppliers!$B$24="","",SUMIFS(Bills!$K$8:$K$507,Bills!$D$8:$D$507,$B24,Bills!$K$8:$K$507,"&gt;0",Bills!$U$8:$U$507,"&gt;="&amp;31,Bills!$U$8:$U$507,"&lt;="&amp;60))</f>
        <v/>
      </c>
      <c r="G24" s="46" t="str">
        <f aca="false">IF(Suppliers!$B$24="","",SUMIFS(Bills!$K$8:$K$507,Bills!$D$8:$D$507,$B24,Bills!$K$8:$K$507,"&gt;0",Bills!$U$8:$U$507,"&gt;="&amp;61,Bills!$U$8:$U$507,"&lt;="&amp;90))</f>
        <v/>
      </c>
      <c r="H24" s="46" t="str">
        <f aca="false">IF(Suppliers!$B$24="","",SUMIFS(Bills!$K$8:$K$507,Bills!$D$8:$D$507,$B24,Bills!$K$8:$K$507,"&gt;0",Bills!$U$8:$U$507,"&gt;="&amp;91))</f>
        <v/>
      </c>
      <c r="I24" s="67" t="str">
        <f aca="false">IF(Suppliers!$B$24="","",MAX(0,Suppliers!$R$24-SUMIFS(Bills!$P$8:$P$507,Bills!$D$8:$D$507,$B24)))</f>
        <v/>
      </c>
      <c r="J24" s="55" t="str">
        <f aca="false">IF(Suppliers!$B$24="","",IF(COUNTIFS(Bills!$D$8:$D$507,$B24,Bills!$U$8:$U$507,"&gt;0")=0,"",SUMPRODUCT(MAX((Bills!$D$8:$D$507=$B24)*Bills!$U$8:$U$507))))</f>
        <v/>
      </c>
      <c r="K24" s="54" t="str">
        <f aca="false">IF(Suppliers!$B$24="","",IF(COUNTIF(Payments!$C$8:$C$507,$B24)=0,"–",SUMPRODUCT(MAX((Payments!$C$8:$C$507=$B24)*Payments!$B$8:$B$507))))</f>
        <v/>
      </c>
      <c r="L24" s="63" t="str">
        <f aca="false">IF(Suppliers!$B$24="","",Suppliers!$F$24&amp;"")</f>
        <v/>
      </c>
      <c r="M24" s="49" t="str">
        <f aca="false">IF(Suppliers!$B$24="","",Suppliers!$N$24)</f>
        <v/>
      </c>
      <c r="N24" s="9" t="n">
        <f aca="false">IF(B24="",-1,N(H24)+N(G24)+N(F24)+N(E24)+ROW()/1000000)</f>
        <v>-1</v>
      </c>
    </row>
    <row r="25" customFormat="false" ht="15" hidden="false" customHeight="false" outlineLevel="0" collapsed="false">
      <c r="A25" s="40" t="str">
        <f aca="false">IF(Suppliers!$B$25="","",19)</f>
        <v/>
      </c>
      <c r="B25" s="65" t="str">
        <f aca="false">IF(Suppliers!$B$25="","",Suppliers!$B$25)</f>
        <v/>
      </c>
      <c r="C25" s="66" t="str">
        <f aca="false">IF(Suppliers!$B$25="","",Suppliers!$K$25)</f>
        <v/>
      </c>
      <c r="D25" s="46" t="str">
        <f aca="false">IF(Suppliers!$B$25="","",SUMIFS(Bills!$K$8:$K$507,Bills!$D$8:$D$507,$B25,Bills!$K$8:$K$507,"&gt;0",Bills!$U$8:$U$507,0))</f>
        <v/>
      </c>
      <c r="E25" s="46" t="str">
        <f aca="false">IF(Suppliers!$B$25="","",SUMIFS(Bills!$K$8:$K$507,Bills!$D$8:$D$507,$B25,Bills!$K$8:$K$507,"&gt;0",Bills!$U$8:$U$507,"&gt;="&amp;1,Bills!$U$8:$U$507,"&lt;="&amp;30))</f>
        <v/>
      </c>
      <c r="F25" s="46" t="str">
        <f aca="false">IF(Suppliers!$B$25="","",SUMIFS(Bills!$K$8:$K$507,Bills!$D$8:$D$507,$B25,Bills!$K$8:$K$507,"&gt;0",Bills!$U$8:$U$507,"&gt;="&amp;31,Bills!$U$8:$U$507,"&lt;="&amp;60))</f>
        <v/>
      </c>
      <c r="G25" s="46" t="str">
        <f aca="false">IF(Suppliers!$B$25="","",SUMIFS(Bills!$K$8:$K$507,Bills!$D$8:$D$507,$B25,Bills!$K$8:$K$507,"&gt;0",Bills!$U$8:$U$507,"&gt;="&amp;61,Bills!$U$8:$U$507,"&lt;="&amp;90))</f>
        <v/>
      </c>
      <c r="H25" s="46" t="str">
        <f aca="false">IF(Suppliers!$B$25="","",SUMIFS(Bills!$K$8:$K$507,Bills!$D$8:$D$507,$B25,Bills!$K$8:$K$507,"&gt;0",Bills!$U$8:$U$507,"&gt;="&amp;91))</f>
        <v/>
      </c>
      <c r="I25" s="67" t="str">
        <f aca="false">IF(Suppliers!$B$25="","",MAX(0,Suppliers!$R$25-SUMIFS(Bills!$P$8:$P$507,Bills!$D$8:$D$507,$B25)))</f>
        <v/>
      </c>
      <c r="J25" s="55" t="str">
        <f aca="false">IF(Suppliers!$B$25="","",IF(COUNTIFS(Bills!$D$8:$D$507,$B25,Bills!$U$8:$U$507,"&gt;0")=0,"",SUMPRODUCT(MAX((Bills!$D$8:$D$507=$B25)*Bills!$U$8:$U$507))))</f>
        <v/>
      </c>
      <c r="K25" s="54" t="str">
        <f aca="false">IF(Suppliers!$B$25="","",IF(COUNTIF(Payments!$C$8:$C$507,$B25)=0,"–",SUMPRODUCT(MAX((Payments!$C$8:$C$507=$B25)*Payments!$B$8:$B$507))))</f>
        <v/>
      </c>
      <c r="L25" s="63" t="str">
        <f aca="false">IF(Suppliers!$B$25="","",Suppliers!$F$25&amp;"")</f>
        <v/>
      </c>
      <c r="M25" s="49" t="str">
        <f aca="false">IF(Suppliers!$B$25="","",Suppliers!$N$25)</f>
        <v/>
      </c>
      <c r="N25" s="9" t="n">
        <f aca="false">IF(B25="",-1,N(H25)+N(G25)+N(F25)+N(E25)+ROW()/1000000)</f>
        <v>-1</v>
      </c>
    </row>
    <row r="26" customFormat="false" ht="15" hidden="false" customHeight="false" outlineLevel="0" collapsed="false">
      <c r="A26" s="40" t="str">
        <f aca="false">IF(Suppliers!$B$26="","",20)</f>
        <v/>
      </c>
      <c r="B26" s="65" t="str">
        <f aca="false">IF(Suppliers!$B$26="","",Suppliers!$B$26)</f>
        <v/>
      </c>
      <c r="C26" s="66" t="str">
        <f aca="false">IF(Suppliers!$B$26="","",Suppliers!$K$26)</f>
        <v/>
      </c>
      <c r="D26" s="46" t="str">
        <f aca="false">IF(Suppliers!$B$26="","",SUMIFS(Bills!$K$8:$K$507,Bills!$D$8:$D$507,$B26,Bills!$K$8:$K$507,"&gt;0",Bills!$U$8:$U$507,0))</f>
        <v/>
      </c>
      <c r="E26" s="46" t="str">
        <f aca="false">IF(Suppliers!$B$26="","",SUMIFS(Bills!$K$8:$K$507,Bills!$D$8:$D$507,$B26,Bills!$K$8:$K$507,"&gt;0",Bills!$U$8:$U$507,"&gt;="&amp;1,Bills!$U$8:$U$507,"&lt;="&amp;30))</f>
        <v/>
      </c>
      <c r="F26" s="46" t="str">
        <f aca="false">IF(Suppliers!$B$26="","",SUMIFS(Bills!$K$8:$K$507,Bills!$D$8:$D$507,$B26,Bills!$K$8:$K$507,"&gt;0",Bills!$U$8:$U$507,"&gt;="&amp;31,Bills!$U$8:$U$507,"&lt;="&amp;60))</f>
        <v/>
      </c>
      <c r="G26" s="46" t="str">
        <f aca="false">IF(Suppliers!$B$26="","",SUMIFS(Bills!$K$8:$K$507,Bills!$D$8:$D$507,$B26,Bills!$K$8:$K$507,"&gt;0",Bills!$U$8:$U$507,"&gt;="&amp;61,Bills!$U$8:$U$507,"&lt;="&amp;90))</f>
        <v/>
      </c>
      <c r="H26" s="46" t="str">
        <f aca="false">IF(Suppliers!$B$26="","",SUMIFS(Bills!$K$8:$K$507,Bills!$D$8:$D$507,$B26,Bills!$K$8:$K$507,"&gt;0",Bills!$U$8:$U$507,"&gt;="&amp;91))</f>
        <v/>
      </c>
      <c r="I26" s="67" t="str">
        <f aca="false">IF(Suppliers!$B$26="","",MAX(0,Suppliers!$R$26-SUMIFS(Bills!$P$8:$P$507,Bills!$D$8:$D$507,$B26)))</f>
        <v/>
      </c>
      <c r="J26" s="55" t="str">
        <f aca="false">IF(Suppliers!$B$26="","",IF(COUNTIFS(Bills!$D$8:$D$507,$B26,Bills!$U$8:$U$507,"&gt;0")=0,"",SUMPRODUCT(MAX((Bills!$D$8:$D$507=$B26)*Bills!$U$8:$U$507))))</f>
        <v/>
      </c>
      <c r="K26" s="54" t="str">
        <f aca="false">IF(Suppliers!$B$26="","",IF(COUNTIF(Payments!$C$8:$C$507,$B26)=0,"–",SUMPRODUCT(MAX((Payments!$C$8:$C$507=$B26)*Payments!$B$8:$B$507))))</f>
        <v/>
      </c>
      <c r="L26" s="63" t="str">
        <f aca="false">IF(Suppliers!$B$26="","",Suppliers!$F$26&amp;"")</f>
        <v/>
      </c>
      <c r="M26" s="49" t="str">
        <f aca="false">IF(Suppliers!$B$26="","",Suppliers!$N$26)</f>
        <v/>
      </c>
      <c r="N26" s="9" t="n">
        <f aca="false">IF(B26="",-1,N(H26)+N(G26)+N(F26)+N(E26)+ROW()/1000000)</f>
        <v>-1</v>
      </c>
    </row>
    <row r="27" customFormat="false" ht="15" hidden="false" customHeight="false" outlineLevel="0" collapsed="false">
      <c r="A27" s="40" t="str">
        <f aca="false">IF(Suppliers!$B$27="","",21)</f>
        <v/>
      </c>
      <c r="B27" s="65" t="str">
        <f aca="false">IF(Suppliers!$B$27="","",Suppliers!$B$27)</f>
        <v/>
      </c>
      <c r="C27" s="66" t="str">
        <f aca="false">IF(Suppliers!$B$27="","",Suppliers!$K$27)</f>
        <v/>
      </c>
      <c r="D27" s="46" t="str">
        <f aca="false">IF(Suppliers!$B$27="","",SUMIFS(Bills!$K$8:$K$507,Bills!$D$8:$D$507,$B27,Bills!$K$8:$K$507,"&gt;0",Bills!$U$8:$U$507,0))</f>
        <v/>
      </c>
      <c r="E27" s="46" t="str">
        <f aca="false">IF(Suppliers!$B$27="","",SUMIFS(Bills!$K$8:$K$507,Bills!$D$8:$D$507,$B27,Bills!$K$8:$K$507,"&gt;0",Bills!$U$8:$U$507,"&gt;="&amp;1,Bills!$U$8:$U$507,"&lt;="&amp;30))</f>
        <v/>
      </c>
      <c r="F27" s="46" t="str">
        <f aca="false">IF(Suppliers!$B$27="","",SUMIFS(Bills!$K$8:$K$507,Bills!$D$8:$D$507,$B27,Bills!$K$8:$K$507,"&gt;0",Bills!$U$8:$U$507,"&gt;="&amp;31,Bills!$U$8:$U$507,"&lt;="&amp;60))</f>
        <v/>
      </c>
      <c r="G27" s="46" t="str">
        <f aca="false">IF(Suppliers!$B$27="","",SUMIFS(Bills!$K$8:$K$507,Bills!$D$8:$D$507,$B27,Bills!$K$8:$K$507,"&gt;0",Bills!$U$8:$U$507,"&gt;="&amp;61,Bills!$U$8:$U$507,"&lt;="&amp;90))</f>
        <v/>
      </c>
      <c r="H27" s="46" t="str">
        <f aca="false">IF(Suppliers!$B$27="","",SUMIFS(Bills!$K$8:$K$507,Bills!$D$8:$D$507,$B27,Bills!$K$8:$K$507,"&gt;0",Bills!$U$8:$U$507,"&gt;="&amp;91))</f>
        <v/>
      </c>
      <c r="I27" s="67" t="str">
        <f aca="false">IF(Suppliers!$B$27="","",MAX(0,Suppliers!$R$27-SUMIFS(Bills!$P$8:$P$507,Bills!$D$8:$D$507,$B27)))</f>
        <v/>
      </c>
      <c r="J27" s="55" t="str">
        <f aca="false">IF(Suppliers!$B$27="","",IF(COUNTIFS(Bills!$D$8:$D$507,$B27,Bills!$U$8:$U$507,"&gt;0")=0,"",SUMPRODUCT(MAX((Bills!$D$8:$D$507=$B27)*Bills!$U$8:$U$507))))</f>
        <v/>
      </c>
      <c r="K27" s="54" t="str">
        <f aca="false">IF(Suppliers!$B$27="","",IF(COUNTIF(Payments!$C$8:$C$507,$B27)=0,"–",SUMPRODUCT(MAX((Payments!$C$8:$C$507=$B27)*Payments!$B$8:$B$507))))</f>
        <v/>
      </c>
      <c r="L27" s="63" t="str">
        <f aca="false">IF(Suppliers!$B$27="","",Suppliers!$F$27&amp;"")</f>
        <v/>
      </c>
      <c r="M27" s="49" t="str">
        <f aca="false">IF(Suppliers!$B$27="","",Suppliers!$N$27)</f>
        <v/>
      </c>
      <c r="N27" s="9" t="n">
        <f aca="false">IF(B27="",-1,N(H27)+N(G27)+N(F27)+N(E27)+ROW()/1000000)</f>
        <v>-1</v>
      </c>
    </row>
    <row r="28" customFormat="false" ht="15" hidden="false" customHeight="false" outlineLevel="0" collapsed="false">
      <c r="A28" s="40" t="str">
        <f aca="false">IF(Suppliers!$B$28="","",22)</f>
        <v/>
      </c>
      <c r="B28" s="65" t="str">
        <f aca="false">IF(Suppliers!$B$28="","",Suppliers!$B$28)</f>
        <v/>
      </c>
      <c r="C28" s="66" t="str">
        <f aca="false">IF(Suppliers!$B$28="","",Suppliers!$K$28)</f>
        <v/>
      </c>
      <c r="D28" s="46" t="str">
        <f aca="false">IF(Suppliers!$B$28="","",SUMIFS(Bills!$K$8:$K$507,Bills!$D$8:$D$507,$B28,Bills!$K$8:$K$507,"&gt;0",Bills!$U$8:$U$507,0))</f>
        <v/>
      </c>
      <c r="E28" s="46" t="str">
        <f aca="false">IF(Suppliers!$B$28="","",SUMIFS(Bills!$K$8:$K$507,Bills!$D$8:$D$507,$B28,Bills!$K$8:$K$507,"&gt;0",Bills!$U$8:$U$507,"&gt;="&amp;1,Bills!$U$8:$U$507,"&lt;="&amp;30))</f>
        <v/>
      </c>
      <c r="F28" s="46" t="str">
        <f aca="false">IF(Suppliers!$B$28="","",SUMIFS(Bills!$K$8:$K$507,Bills!$D$8:$D$507,$B28,Bills!$K$8:$K$507,"&gt;0",Bills!$U$8:$U$507,"&gt;="&amp;31,Bills!$U$8:$U$507,"&lt;="&amp;60))</f>
        <v/>
      </c>
      <c r="G28" s="46" t="str">
        <f aca="false">IF(Suppliers!$B$28="","",SUMIFS(Bills!$K$8:$K$507,Bills!$D$8:$D$507,$B28,Bills!$K$8:$K$507,"&gt;0",Bills!$U$8:$U$507,"&gt;="&amp;61,Bills!$U$8:$U$507,"&lt;="&amp;90))</f>
        <v/>
      </c>
      <c r="H28" s="46" t="str">
        <f aca="false">IF(Suppliers!$B$28="","",SUMIFS(Bills!$K$8:$K$507,Bills!$D$8:$D$507,$B28,Bills!$K$8:$K$507,"&gt;0",Bills!$U$8:$U$507,"&gt;="&amp;91))</f>
        <v/>
      </c>
      <c r="I28" s="67" t="str">
        <f aca="false">IF(Suppliers!$B$28="","",MAX(0,Suppliers!$R$28-SUMIFS(Bills!$P$8:$P$507,Bills!$D$8:$D$507,$B28)))</f>
        <v/>
      </c>
      <c r="J28" s="55" t="str">
        <f aca="false">IF(Suppliers!$B$28="","",IF(COUNTIFS(Bills!$D$8:$D$507,$B28,Bills!$U$8:$U$507,"&gt;0")=0,"",SUMPRODUCT(MAX((Bills!$D$8:$D$507=$B28)*Bills!$U$8:$U$507))))</f>
        <v/>
      </c>
      <c r="K28" s="54" t="str">
        <f aca="false">IF(Suppliers!$B$28="","",IF(COUNTIF(Payments!$C$8:$C$507,$B28)=0,"–",SUMPRODUCT(MAX((Payments!$C$8:$C$507=$B28)*Payments!$B$8:$B$507))))</f>
        <v/>
      </c>
      <c r="L28" s="63" t="str">
        <f aca="false">IF(Suppliers!$B$28="","",Suppliers!$F$28&amp;"")</f>
        <v/>
      </c>
      <c r="M28" s="49" t="str">
        <f aca="false">IF(Suppliers!$B$28="","",Suppliers!$N$28)</f>
        <v/>
      </c>
      <c r="N28" s="9" t="n">
        <f aca="false">IF(B28="",-1,N(H28)+N(G28)+N(F28)+N(E28)+ROW()/1000000)</f>
        <v>-1</v>
      </c>
    </row>
    <row r="29" customFormat="false" ht="15" hidden="false" customHeight="false" outlineLevel="0" collapsed="false">
      <c r="A29" s="40" t="str">
        <f aca="false">IF(Suppliers!$B$29="","",23)</f>
        <v/>
      </c>
      <c r="B29" s="65" t="str">
        <f aca="false">IF(Suppliers!$B$29="","",Suppliers!$B$29)</f>
        <v/>
      </c>
      <c r="C29" s="66" t="str">
        <f aca="false">IF(Suppliers!$B$29="","",Suppliers!$K$29)</f>
        <v/>
      </c>
      <c r="D29" s="46" t="str">
        <f aca="false">IF(Suppliers!$B$29="","",SUMIFS(Bills!$K$8:$K$507,Bills!$D$8:$D$507,$B29,Bills!$K$8:$K$507,"&gt;0",Bills!$U$8:$U$507,0))</f>
        <v/>
      </c>
      <c r="E29" s="46" t="str">
        <f aca="false">IF(Suppliers!$B$29="","",SUMIFS(Bills!$K$8:$K$507,Bills!$D$8:$D$507,$B29,Bills!$K$8:$K$507,"&gt;0",Bills!$U$8:$U$507,"&gt;="&amp;1,Bills!$U$8:$U$507,"&lt;="&amp;30))</f>
        <v/>
      </c>
      <c r="F29" s="46" t="str">
        <f aca="false">IF(Suppliers!$B$29="","",SUMIFS(Bills!$K$8:$K$507,Bills!$D$8:$D$507,$B29,Bills!$K$8:$K$507,"&gt;0",Bills!$U$8:$U$507,"&gt;="&amp;31,Bills!$U$8:$U$507,"&lt;="&amp;60))</f>
        <v/>
      </c>
      <c r="G29" s="46" t="str">
        <f aca="false">IF(Suppliers!$B$29="","",SUMIFS(Bills!$K$8:$K$507,Bills!$D$8:$D$507,$B29,Bills!$K$8:$K$507,"&gt;0",Bills!$U$8:$U$507,"&gt;="&amp;61,Bills!$U$8:$U$507,"&lt;="&amp;90))</f>
        <v/>
      </c>
      <c r="H29" s="46" t="str">
        <f aca="false">IF(Suppliers!$B$29="","",SUMIFS(Bills!$K$8:$K$507,Bills!$D$8:$D$507,$B29,Bills!$K$8:$K$507,"&gt;0",Bills!$U$8:$U$507,"&gt;="&amp;91))</f>
        <v/>
      </c>
      <c r="I29" s="67" t="str">
        <f aca="false">IF(Suppliers!$B$29="","",MAX(0,Suppliers!$R$29-SUMIFS(Bills!$P$8:$P$507,Bills!$D$8:$D$507,$B29)))</f>
        <v/>
      </c>
      <c r="J29" s="55" t="str">
        <f aca="false">IF(Suppliers!$B$29="","",IF(COUNTIFS(Bills!$D$8:$D$507,$B29,Bills!$U$8:$U$507,"&gt;0")=0,"",SUMPRODUCT(MAX((Bills!$D$8:$D$507=$B29)*Bills!$U$8:$U$507))))</f>
        <v/>
      </c>
      <c r="K29" s="54" t="str">
        <f aca="false">IF(Suppliers!$B$29="","",IF(COUNTIF(Payments!$C$8:$C$507,$B29)=0,"–",SUMPRODUCT(MAX((Payments!$C$8:$C$507=$B29)*Payments!$B$8:$B$507))))</f>
        <v/>
      </c>
      <c r="L29" s="63" t="str">
        <f aca="false">IF(Suppliers!$B$29="","",Suppliers!$F$29&amp;"")</f>
        <v/>
      </c>
      <c r="M29" s="49" t="str">
        <f aca="false">IF(Suppliers!$B$29="","",Suppliers!$N$29)</f>
        <v/>
      </c>
      <c r="N29" s="9" t="n">
        <f aca="false">IF(B29="",-1,N(H29)+N(G29)+N(F29)+N(E29)+ROW()/1000000)</f>
        <v>-1</v>
      </c>
    </row>
    <row r="30" customFormat="false" ht="15" hidden="false" customHeight="false" outlineLevel="0" collapsed="false">
      <c r="A30" s="40" t="str">
        <f aca="false">IF(Suppliers!$B$30="","",24)</f>
        <v/>
      </c>
      <c r="B30" s="65" t="str">
        <f aca="false">IF(Suppliers!$B$30="","",Suppliers!$B$30)</f>
        <v/>
      </c>
      <c r="C30" s="66" t="str">
        <f aca="false">IF(Suppliers!$B$30="","",Suppliers!$K$30)</f>
        <v/>
      </c>
      <c r="D30" s="46" t="str">
        <f aca="false">IF(Suppliers!$B$30="","",SUMIFS(Bills!$K$8:$K$507,Bills!$D$8:$D$507,$B30,Bills!$K$8:$K$507,"&gt;0",Bills!$U$8:$U$507,0))</f>
        <v/>
      </c>
      <c r="E30" s="46" t="str">
        <f aca="false">IF(Suppliers!$B$30="","",SUMIFS(Bills!$K$8:$K$507,Bills!$D$8:$D$507,$B30,Bills!$K$8:$K$507,"&gt;0",Bills!$U$8:$U$507,"&gt;="&amp;1,Bills!$U$8:$U$507,"&lt;="&amp;30))</f>
        <v/>
      </c>
      <c r="F30" s="46" t="str">
        <f aca="false">IF(Suppliers!$B$30="","",SUMIFS(Bills!$K$8:$K$507,Bills!$D$8:$D$507,$B30,Bills!$K$8:$K$507,"&gt;0",Bills!$U$8:$U$507,"&gt;="&amp;31,Bills!$U$8:$U$507,"&lt;="&amp;60))</f>
        <v/>
      </c>
      <c r="G30" s="46" t="str">
        <f aca="false">IF(Suppliers!$B$30="","",SUMIFS(Bills!$K$8:$K$507,Bills!$D$8:$D$507,$B30,Bills!$K$8:$K$507,"&gt;0",Bills!$U$8:$U$507,"&gt;="&amp;61,Bills!$U$8:$U$507,"&lt;="&amp;90))</f>
        <v/>
      </c>
      <c r="H30" s="46" t="str">
        <f aca="false">IF(Suppliers!$B$30="","",SUMIFS(Bills!$K$8:$K$507,Bills!$D$8:$D$507,$B30,Bills!$K$8:$K$507,"&gt;0",Bills!$U$8:$U$507,"&gt;="&amp;91))</f>
        <v/>
      </c>
      <c r="I30" s="67" t="str">
        <f aca="false">IF(Suppliers!$B$30="","",MAX(0,Suppliers!$R$30-SUMIFS(Bills!$P$8:$P$507,Bills!$D$8:$D$507,$B30)))</f>
        <v/>
      </c>
      <c r="J30" s="55" t="str">
        <f aca="false">IF(Suppliers!$B$30="","",IF(COUNTIFS(Bills!$D$8:$D$507,$B30,Bills!$U$8:$U$507,"&gt;0")=0,"",SUMPRODUCT(MAX((Bills!$D$8:$D$507=$B30)*Bills!$U$8:$U$507))))</f>
        <v/>
      </c>
      <c r="K30" s="54" t="str">
        <f aca="false">IF(Suppliers!$B$30="","",IF(COUNTIF(Payments!$C$8:$C$507,$B30)=0,"–",SUMPRODUCT(MAX((Payments!$C$8:$C$507=$B30)*Payments!$B$8:$B$507))))</f>
        <v/>
      </c>
      <c r="L30" s="63" t="str">
        <f aca="false">IF(Suppliers!$B$30="","",Suppliers!$F$30&amp;"")</f>
        <v/>
      </c>
      <c r="M30" s="49" t="str">
        <f aca="false">IF(Suppliers!$B$30="","",Suppliers!$N$30)</f>
        <v/>
      </c>
      <c r="N30" s="9" t="n">
        <f aca="false">IF(B30="",-1,N(H30)+N(G30)+N(F30)+N(E30)+ROW()/1000000)</f>
        <v>-1</v>
      </c>
    </row>
    <row r="31" customFormat="false" ht="15" hidden="false" customHeight="false" outlineLevel="0" collapsed="false">
      <c r="A31" s="40" t="str">
        <f aca="false">IF(Suppliers!$B$31="","",25)</f>
        <v/>
      </c>
      <c r="B31" s="65" t="str">
        <f aca="false">IF(Suppliers!$B$31="","",Suppliers!$B$31)</f>
        <v/>
      </c>
      <c r="C31" s="66" t="str">
        <f aca="false">IF(Suppliers!$B$31="","",Suppliers!$K$31)</f>
        <v/>
      </c>
      <c r="D31" s="46" t="str">
        <f aca="false">IF(Suppliers!$B$31="","",SUMIFS(Bills!$K$8:$K$507,Bills!$D$8:$D$507,$B31,Bills!$K$8:$K$507,"&gt;0",Bills!$U$8:$U$507,0))</f>
        <v/>
      </c>
      <c r="E31" s="46" t="str">
        <f aca="false">IF(Suppliers!$B$31="","",SUMIFS(Bills!$K$8:$K$507,Bills!$D$8:$D$507,$B31,Bills!$K$8:$K$507,"&gt;0",Bills!$U$8:$U$507,"&gt;="&amp;1,Bills!$U$8:$U$507,"&lt;="&amp;30))</f>
        <v/>
      </c>
      <c r="F31" s="46" t="str">
        <f aca="false">IF(Suppliers!$B$31="","",SUMIFS(Bills!$K$8:$K$507,Bills!$D$8:$D$507,$B31,Bills!$K$8:$K$507,"&gt;0",Bills!$U$8:$U$507,"&gt;="&amp;31,Bills!$U$8:$U$507,"&lt;="&amp;60))</f>
        <v/>
      </c>
      <c r="G31" s="46" t="str">
        <f aca="false">IF(Suppliers!$B$31="","",SUMIFS(Bills!$K$8:$K$507,Bills!$D$8:$D$507,$B31,Bills!$K$8:$K$507,"&gt;0",Bills!$U$8:$U$507,"&gt;="&amp;61,Bills!$U$8:$U$507,"&lt;="&amp;90))</f>
        <v/>
      </c>
      <c r="H31" s="46" t="str">
        <f aca="false">IF(Suppliers!$B$31="","",SUMIFS(Bills!$K$8:$K$507,Bills!$D$8:$D$507,$B31,Bills!$K$8:$K$507,"&gt;0",Bills!$U$8:$U$507,"&gt;="&amp;91))</f>
        <v/>
      </c>
      <c r="I31" s="67" t="str">
        <f aca="false">IF(Suppliers!$B$31="","",MAX(0,Suppliers!$R$31-SUMIFS(Bills!$P$8:$P$507,Bills!$D$8:$D$507,$B31)))</f>
        <v/>
      </c>
      <c r="J31" s="55" t="str">
        <f aca="false">IF(Suppliers!$B$31="","",IF(COUNTIFS(Bills!$D$8:$D$507,$B31,Bills!$U$8:$U$507,"&gt;0")=0,"",SUMPRODUCT(MAX((Bills!$D$8:$D$507=$B31)*Bills!$U$8:$U$507))))</f>
        <v/>
      </c>
      <c r="K31" s="54" t="str">
        <f aca="false">IF(Suppliers!$B$31="","",IF(COUNTIF(Payments!$C$8:$C$507,$B31)=0,"–",SUMPRODUCT(MAX((Payments!$C$8:$C$507=$B31)*Payments!$B$8:$B$507))))</f>
        <v/>
      </c>
      <c r="L31" s="63" t="str">
        <f aca="false">IF(Suppliers!$B$31="","",Suppliers!$F$31&amp;"")</f>
        <v/>
      </c>
      <c r="M31" s="49" t="str">
        <f aca="false">IF(Suppliers!$B$31="","",Suppliers!$N$31)</f>
        <v/>
      </c>
      <c r="N31" s="9" t="n">
        <f aca="false">IF(B31="",-1,N(H31)+N(G31)+N(F31)+N(E31)+ROW()/1000000)</f>
        <v>-1</v>
      </c>
    </row>
    <row r="32" customFormat="false" ht="15" hidden="false" customHeight="false" outlineLevel="0" collapsed="false">
      <c r="A32" s="40" t="str">
        <f aca="false">IF(Suppliers!$B$32="","",26)</f>
        <v/>
      </c>
      <c r="B32" s="65" t="str">
        <f aca="false">IF(Suppliers!$B$32="","",Suppliers!$B$32)</f>
        <v/>
      </c>
      <c r="C32" s="66" t="str">
        <f aca="false">IF(Suppliers!$B$32="","",Suppliers!$K$32)</f>
        <v/>
      </c>
      <c r="D32" s="46" t="str">
        <f aca="false">IF(Suppliers!$B$32="","",SUMIFS(Bills!$K$8:$K$507,Bills!$D$8:$D$507,$B32,Bills!$K$8:$K$507,"&gt;0",Bills!$U$8:$U$507,0))</f>
        <v/>
      </c>
      <c r="E32" s="46" t="str">
        <f aca="false">IF(Suppliers!$B$32="","",SUMIFS(Bills!$K$8:$K$507,Bills!$D$8:$D$507,$B32,Bills!$K$8:$K$507,"&gt;0",Bills!$U$8:$U$507,"&gt;="&amp;1,Bills!$U$8:$U$507,"&lt;="&amp;30))</f>
        <v/>
      </c>
      <c r="F32" s="46" t="str">
        <f aca="false">IF(Suppliers!$B$32="","",SUMIFS(Bills!$K$8:$K$507,Bills!$D$8:$D$507,$B32,Bills!$K$8:$K$507,"&gt;0",Bills!$U$8:$U$507,"&gt;="&amp;31,Bills!$U$8:$U$507,"&lt;="&amp;60))</f>
        <v/>
      </c>
      <c r="G32" s="46" t="str">
        <f aca="false">IF(Suppliers!$B$32="","",SUMIFS(Bills!$K$8:$K$507,Bills!$D$8:$D$507,$B32,Bills!$K$8:$K$507,"&gt;0",Bills!$U$8:$U$507,"&gt;="&amp;61,Bills!$U$8:$U$507,"&lt;="&amp;90))</f>
        <v/>
      </c>
      <c r="H32" s="46" t="str">
        <f aca="false">IF(Suppliers!$B$32="","",SUMIFS(Bills!$K$8:$K$507,Bills!$D$8:$D$507,$B32,Bills!$K$8:$K$507,"&gt;0",Bills!$U$8:$U$507,"&gt;="&amp;91))</f>
        <v/>
      </c>
      <c r="I32" s="67" t="str">
        <f aca="false">IF(Suppliers!$B$32="","",MAX(0,Suppliers!$R$32-SUMIFS(Bills!$P$8:$P$507,Bills!$D$8:$D$507,$B32)))</f>
        <v/>
      </c>
      <c r="J32" s="55" t="str">
        <f aca="false">IF(Suppliers!$B$32="","",IF(COUNTIFS(Bills!$D$8:$D$507,$B32,Bills!$U$8:$U$507,"&gt;0")=0,"",SUMPRODUCT(MAX((Bills!$D$8:$D$507=$B32)*Bills!$U$8:$U$507))))</f>
        <v/>
      </c>
      <c r="K32" s="54" t="str">
        <f aca="false">IF(Suppliers!$B$32="","",IF(COUNTIF(Payments!$C$8:$C$507,$B32)=0,"–",SUMPRODUCT(MAX((Payments!$C$8:$C$507=$B32)*Payments!$B$8:$B$507))))</f>
        <v/>
      </c>
      <c r="L32" s="63" t="str">
        <f aca="false">IF(Suppliers!$B$32="","",Suppliers!$F$32&amp;"")</f>
        <v/>
      </c>
      <c r="M32" s="49" t="str">
        <f aca="false">IF(Suppliers!$B$32="","",Suppliers!$N$32)</f>
        <v/>
      </c>
      <c r="N32" s="9" t="n">
        <f aca="false">IF(B32="",-1,N(H32)+N(G32)+N(F32)+N(E32)+ROW()/1000000)</f>
        <v>-1</v>
      </c>
    </row>
    <row r="33" customFormat="false" ht="15" hidden="false" customHeight="false" outlineLevel="0" collapsed="false">
      <c r="A33" s="40" t="str">
        <f aca="false">IF(Suppliers!$B$33="","",27)</f>
        <v/>
      </c>
      <c r="B33" s="65" t="str">
        <f aca="false">IF(Suppliers!$B$33="","",Suppliers!$B$33)</f>
        <v/>
      </c>
      <c r="C33" s="66" t="str">
        <f aca="false">IF(Suppliers!$B$33="","",Suppliers!$K$33)</f>
        <v/>
      </c>
      <c r="D33" s="46" t="str">
        <f aca="false">IF(Suppliers!$B$33="","",SUMIFS(Bills!$K$8:$K$507,Bills!$D$8:$D$507,$B33,Bills!$K$8:$K$507,"&gt;0",Bills!$U$8:$U$507,0))</f>
        <v/>
      </c>
      <c r="E33" s="46" t="str">
        <f aca="false">IF(Suppliers!$B$33="","",SUMIFS(Bills!$K$8:$K$507,Bills!$D$8:$D$507,$B33,Bills!$K$8:$K$507,"&gt;0",Bills!$U$8:$U$507,"&gt;="&amp;1,Bills!$U$8:$U$507,"&lt;="&amp;30))</f>
        <v/>
      </c>
      <c r="F33" s="46" t="str">
        <f aca="false">IF(Suppliers!$B$33="","",SUMIFS(Bills!$K$8:$K$507,Bills!$D$8:$D$507,$B33,Bills!$K$8:$K$507,"&gt;0",Bills!$U$8:$U$507,"&gt;="&amp;31,Bills!$U$8:$U$507,"&lt;="&amp;60))</f>
        <v/>
      </c>
      <c r="G33" s="46" t="str">
        <f aca="false">IF(Suppliers!$B$33="","",SUMIFS(Bills!$K$8:$K$507,Bills!$D$8:$D$507,$B33,Bills!$K$8:$K$507,"&gt;0",Bills!$U$8:$U$507,"&gt;="&amp;61,Bills!$U$8:$U$507,"&lt;="&amp;90))</f>
        <v/>
      </c>
      <c r="H33" s="46" t="str">
        <f aca="false">IF(Suppliers!$B$33="","",SUMIFS(Bills!$K$8:$K$507,Bills!$D$8:$D$507,$B33,Bills!$K$8:$K$507,"&gt;0",Bills!$U$8:$U$507,"&gt;="&amp;91))</f>
        <v/>
      </c>
      <c r="I33" s="67" t="str">
        <f aca="false">IF(Suppliers!$B$33="","",MAX(0,Suppliers!$R$33-SUMIFS(Bills!$P$8:$P$507,Bills!$D$8:$D$507,$B33)))</f>
        <v/>
      </c>
      <c r="J33" s="55" t="str">
        <f aca="false">IF(Suppliers!$B$33="","",IF(COUNTIFS(Bills!$D$8:$D$507,$B33,Bills!$U$8:$U$507,"&gt;0")=0,"",SUMPRODUCT(MAX((Bills!$D$8:$D$507=$B33)*Bills!$U$8:$U$507))))</f>
        <v/>
      </c>
      <c r="K33" s="54" t="str">
        <f aca="false">IF(Suppliers!$B$33="","",IF(COUNTIF(Payments!$C$8:$C$507,$B33)=0,"–",SUMPRODUCT(MAX((Payments!$C$8:$C$507=$B33)*Payments!$B$8:$B$507))))</f>
        <v/>
      </c>
      <c r="L33" s="63" t="str">
        <f aca="false">IF(Suppliers!$B$33="","",Suppliers!$F$33&amp;"")</f>
        <v/>
      </c>
      <c r="M33" s="49" t="str">
        <f aca="false">IF(Suppliers!$B$33="","",Suppliers!$N$33)</f>
        <v/>
      </c>
      <c r="N33" s="9" t="n">
        <f aca="false">IF(B33="",-1,N(H33)+N(G33)+N(F33)+N(E33)+ROW()/1000000)</f>
        <v>-1</v>
      </c>
    </row>
    <row r="34" customFormat="false" ht="15" hidden="false" customHeight="false" outlineLevel="0" collapsed="false">
      <c r="A34" s="40" t="str">
        <f aca="false">IF(Suppliers!$B$34="","",28)</f>
        <v/>
      </c>
      <c r="B34" s="65" t="str">
        <f aca="false">IF(Suppliers!$B$34="","",Suppliers!$B$34)</f>
        <v/>
      </c>
      <c r="C34" s="66" t="str">
        <f aca="false">IF(Suppliers!$B$34="","",Suppliers!$K$34)</f>
        <v/>
      </c>
      <c r="D34" s="46" t="str">
        <f aca="false">IF(Suppliers!$B$34="","",SUMIFS(Bills!$K$8:$K$507,Bills!$D$8:$D$507,$B34,Bills!$K$8:$K$507,"&gt;0",Bills!$U$8:$U$507,0))</f>
        <v/>
      </c>
      <c r="E34" s="46" t="str">
        <f aca="false">IF(Suppliers!$B$34="","",SUMIFS(Bills!$K$8:$K$507,Bills!$D$8:$D$507,$B34,Bills!$K$8:$K$507,"&gt;0",Bills!$U$8:$U$507,"&gt;="&amp;1,Bills!$U$8:$U$507,"&lt;="&amp;30))</f>
        <v/>
      </c>
      <c r="F34" s="46" t="str">
        <f aca="false">IF(Suppliers!$B$34="","",SUMIFS(Bills!$K$8:$K$507,Bills!$D$8:$D$507,$B34,Bills!$K$8:$K$507,"&gt;0",Bills!$U$8:$U$507,"&gt;="&amp;31,Bills!$U$8:$U$507,"&lt;="&amp;60))</f>
        <v/>
      </c>
      <c r="G34" s="46" t="str">
        <f aca="false">IF(Suppliers!$B$34="","",SUMIFS(Bills!$K$8:$K$507,Bills!$D$8:$D$507,$B34,Bills!$K$8:$K$507,"&gt;0",Bills!$U$8:$U$507,"&gt;="&amp;61,Bills!$U$8:$U$507,"&lt;="&amp;90))</f>
        <v/>
      </c>
      <c r="H34" s="46" t="str">
        <f aca="false">IF(Suppliers!$B$34="","",SUMIFS(Bills!$K$8:$K$507,Bills!$D$8:$D$507,$B34,Bills!$K$8:$K$507,"&gt;0",Bills!$U$8:$U$507,"&gt;="&amp;91))</f>
        <v/>
      </c>
      <c r="I34" s="67" t="str">
        <f aca="false">IF(Suppliers!$B$34="","",MAX(0,Suppliers!$R$34-SUMIFS(Bills!$P$8:$P$507,Bills!$D$8:$D$507,$B34)))</f>
        <v/>
      </c>
      <c r="J34" s="55" t="str">
        <f aca="false">IF(Suppliers!$B$34="","",IF(COUNTIFS(Bills!$D$8:$D$507,$B34,Bills!$U$8:$U$507,"&gt;0")=0,"",SUMPRODUCT(MAX((Bills!$D$8:$D$507=$B34)*Bills!$U$8:$U$507))))</f>
        <v/>
      </c>
      <c r="K34" s="54" t="str">
        <f aca="false">IF(Suppliers!$B$34="","",IF(COUNTIF(Payments!$C$8:$C$507,$B34)=0,"–",SUMPRODUCT(MAX((Payments!$C$8:$C$507=$B34)*Payments!$B$8:$B$507))))</f>
        <v/>
      </c>
      <c r="L34" s="63" t="str">
        <f aca="false">IF(Suppliers!$B$34="","",Suppliers!$F$34&amp;"")</f>
        <v/>
      </c>
      <c r="M34" s="49" t="str">
        <f aca="false">IF(Suppliers!$B$34="","",Suppliers!$N$34)</f>
        <v/>
      </c>
      <c r="N34" s="9" t="n">
        <f aca="false">IF(B34="",-1,N(H34)+N(G34)+N(F34)+N(E34)+ROW()/1000000)</f>
        <v>-1</v>
      </c>
    </row>
    <row r="35" customFormat="false" ht="15" hidden="false" customHeight="false" outlineLevel="0" collapsed="false">
      <c r="A35" s="40" t="str">
        <f aca="false">IF(Suppliers!$B$35="","",29)</f>
        <v/>
      </c>
      <c r="B35" s="65" t="str">
        <f aca="false">IF(Suppliers!$B$35="","",Suppliers!$B$35)</f>
        <v/>
      </c>
      <c r="C35" s="66" t="str">
        <f aca="false">IF(Suppliers!$B$35="","",Suppliers!$K$35)</f>
        <v/>
      </c>
      <c r="D35" s="46" t="str">
        <f aca="false">IF(Suppliers!$B$35="","",SUMIFS(Bills!$K$8:$K$507,Bills!$D$8:$D$507,$B35,Bills!$K$8:$K$507,"&gt;0",Bills!$U$8:$U$507,0))</f>
        <v/>
      </c>
      <c r="E35" s="46" t="str">
        <f aca="false">IF(Suppliers!$B$35="","",SUMIFS(Bills!$K$8:$K$507,Bills!$D$8:$D$507,$B35,Bills!$K$8:$K$507,"&gt;0",Bills!$U$8:$U$507,"&gt;="&amp;1,Bills!$U$8:$U$507,"&lt;="&amp;30))</f>
        <v/>
      </c>
      <c r="F35" s="46" t="str">
        <f aca="false">IF(Suppliers!$B$35="","",SUMIFS(Bills!$K$8:$K$507,Bills!$D$8:$D$507,$B35,Bills!$K$8:$K$507,"&gt;0",Bills!$U$8:$U$507,"&gt;="&amp;31,Bills!$U$8:$U$507,"&lt;="&amp;60))</f>
        <v/>
      </c>
      <c r="G35" s="46" t="str">
        <f aca="false">IF(Suppliers!$B$35="","",SUMIFS(Bills!$K$8:$K$507,Bills!$D$8:$D$507,$B35,Bills!$K$8:$K$507,"&gt;0",Bills!$U$8:$U$507,"&gt;="&amp;61,Bills!$U$8:$U$507,"&lt;="&amp;90))</f>
        <v/>
      </c>
      <c r="H35" s="46" t="str">
        <f aca="false">IF(Suppliers!$B$35="","",SUMIFS(Bills!$K$8:$K$507,Bills!$D$8:$D$507,$B35,Bills!$K$8:$K$507,"&gt;0",Bills!$U$8:$U$507,"&gt;="&amp;91))</f>
        <v/>
      </c>
      <c r="I35" s="67" t="str">
        <f aca="false">IF(Suppliers!$B$35="","",MAX(0,Suppliers!$R$35-SUMIFS(Bills!$P$8:$P$507,Bills!$D$8:$D$507,$B35)))</f>
        <v/>
      </c>
      <c r="J35" s="55" t="str">
        <f aca="false">IF(Suppliers!$B$35="","",IF(COUNTIFS(Bills!$D$8:$D$507,$B35,Bills!$U$8:$U$507,"&gt;0")=0,"",SUMPRODUCT(MAX((Bills!$D$8:$D$507=$B35)*Bills!$U$8:$U$507))))</f>
        <v/>
      </c>
      <c r="K35" s="54" t="str">
        <f aca="false">IF(Suppliers!$B$35="","",IF(COUNTIF(Payments!$C$8:$C$507,$B35)=0,"–",SUMPRODUCT(MAX((Payments!$C$8:$C$507=$B35)*Payments!$B$8:$B$507))))</f>
        <v/>
      </c>
      <c r="L35" s="63" t="str">
        <f aca="false">IF(Suppliers!$B$35="","",Suppliers!$F$35&amp;"")</f>
        <v/>
      </c>
      <c r="M35" s="49" t="str">
        <f aca="false">IF(Suppliers!$B$35="","",Suppliers!$N$35)</f>
        <v/>
      </c>
      <c r="N35" s="9" t="n">
        <f aca="false">IF(B35="",-1,N(H35)+N(G35)+N(F35)+N(E35)+ROW()/1000000)</f>
        <v>-1</v>
      </c>
    </row>
    <row r="36" customFormat="false" ht="15" hidden="false" customHeight="false" outlineLevel="0" collapsed="false">
      <c r="A36" s="40" t="str">
        <f aca="false">IF(Suppliers!$B$36="","",30)</f>
        <v/>
      </c>
      <c r="B36" s="65" t="str">
        <f aca="false">IF(Suppliers!$B$36="","",Suppliers!$B$36)</f>
        <v/>
      </c>
      <c r="C36" s="66" t="str">
        <f aca="false">IF(Suppliers!$B$36="","",Suppliers!$K$36)</f>
        <v/>
      </c>
      <c r="D36" s="46" t="str">
        <f aca="false">IF(Suppliers!$B$36="","",SUMIFS(Bills!$K$8:$K$507,Bills!$D$8:$D$507,$B36,Bills!$K$8:$K$507,"&gt;0",Bills!$U$8:$U$507,0))</f>
        <v/>
      </c>
      <c r="E36" s="46" t="str">
        <f aca="false">IF(Suppliers!$B$36="","",SUMIFS(Bills!$K$8:$K$507,Bills!$D$8:$D$507,$B36,Bills!$K$8:$K$507,"&gt;0",Bills!$U$8:$U$507,"&gt;="&amp;1,Bills!$U$8:$U$507,"&lt;="&amp;30))</f>
        <v/>
      </c>
      <c r="F36" s="46" t="str">
        <f aca="false">IF(Suppliers!$B$36="","",SUMIFS(Bills!$K$8:$K$507,Bills!$D$8:$D$507,$B36,Bills!$K$8:$K$507,"&gt;0",Bills!$U$8:$U$507,"&gt;="&amp;31,Bills!$U$8:$U$507,"&lt;="&amp;60))</f>
        <v/>
      </c>
      <c r="G36" s="46" t="str">
        <f aca="false">IF(Suppliers!$B$36="","",SUMIFS(Bills!$K$8:$K$507,Bills!$D$8:$D$507,$B36,Bills!$K$8:$K$507,"&gt;0",Bills!$U$8:$U$507,"&gt;="&amp;61,Bills!$U$8:$U$507,"&lt;="&amp;90))</f>
        <v/>
      </c>
      <c r="H36" s="46" t="str">
        <f aca="false">IF(Suppliers!$B$36="","",SUMIFS(Bills!$K$8:$K$507,Bills!$D$8:$D$507,$B36,Bills!$K$8:$K$507,"&gt;0",Bills!$U$8:$U$507,"&gt;="&amp;91))</f>
        <v/>
      </c>
      <c r="I36" s="67" t="str">
        <f aca="false">IF(Suppliers!$B$36="","",MAX(0,Suppliers!$R$36-SUMIFS(Bills!$P$8:$P$507,Bills!$D$8:$D$507,$B36)))</f>
        <v/>
      </c>
      <c r="J36" s="55" t="str">
        <f aca="false">IF(Suppliers!$B$36="","",IF(COUNTIFS(Bills!$D$8:$D$507,$B36,Bills!$U$8:$U$507,"&gt;0")=0,"",SUMPRODUCT(MAX((Bills!$D$8:$D$507=$B36)*Bills!$U$8:$U$507))))</f>
        <v/>
      </c>
      <c r="K36" s="54" t="str">
        <f aca="false">IF(Suppliers!$B$36="","",IF(COUNTIF(Payments!$C$8:$C$507,$B36)=0,"–",SUMPRODUCT(MAX((Payments!$C$8:$C$507=$B36)*Payments!$B$8:$B$507))))</f>
        <v/>
      </c>
      <c r="L36" s="63" t="str">
        <f aca="false">IF(Suppliers!$B$36="","",Suppliers!$F$36&amp;"")</f>
        <v/>
      </c>
      <c r="M36" s="49" t="str">
        <f aca="false">IF(Suppliers!$B$36="","",Suppliers!$N$36)</f>
        <v/>
      </c>
      <c r="N36" s="9" t="n">
        <f aca="false">IF(B36="",-1,N(H36)+N(G36)+N(F36)+N(E36)+ROW()/1000000)</f>
        <v>-1</v>
      </c>
    </row>
    <row r="37" customFormat="false" ht="15" hidden="false" customHeight="false" outlineLevel="0" collapsed="false">
      <c r="A37" s="40" t="str">
        <f aca="false">IF(Suppliers!$B$37="","",31)</f>
        <v/>
      </c>
      <c r="B37" s="65" t="str">
        <f aca="false">IF(Suppliers!$B$37="","",Suppliers!$B$37)</f>
        <v/>
      </c>
      <c r="C37" s="66" t="str">
        <f aca="false">IF(Suppliers!$B$37="","",Suppliers!$K$37)</f>
        <v/>
      </c>
      <c r="D37" s="46" t="str">
        <f aca="false">IF(Suppliers!$B$37="","",SUMIFS(Bills!$K$8:$K$507,Bills!$D$8:$D$507,$B37,Bills!$K$8:$K$507,"&gt;0",Bills!$U$8:$U$507,0))</f>
        <v/>
      </c>
      <c r="E37" s="46" t="str">
        <f aca="false">IF(Suppliers!$B$37="","",SUMIFS(Bills!$K$8:$K$507,Bills!$D$8:$D$507,$B37,Bills!$K$8:$K$507,"&gt;0",Bills!$U$8:$U$507,"&gt;="&amp;1,Bills!$U$8:$U$507,"&lt;="&amp;30))</f>
        <v/>
      </c>
      <c r="F37" s="46" t="str">
        <f aca="false">IF(Suppliers!$B$37="","",SUMIFS(Bills!$K$8:$K$507,Bills!$D$8:$D$507,$B37,Bills!$K$8:$K$507,"&gt;0",Bills!$U$8:$U$507,"&gt;="&amp;31,Bills!$U$8:$U$507,"&lt;="&amp;60))</f>
        <v/>
      </c>
      <c r="G37" s="46" t="str">
        <f aca="false">IF(Suppliers!$B$37="","",SUMIFS(Bills!$K$8:$K$507,Bills!$D$8:$D$507,$B37,Bills!$K$8:$K$507,"&gt;0",Bills!$U$8:$U$507,"&gt;="&amp;61,Bills!$U$8:$U$507,"&lt;="&amp;90))</f>
        <v/>
      </c>
      <c r="H37" s="46" t="str">
        <f aca="false">IF(Suppliers!$B$37="","",SUMIFS(Bills!$K$8:$K$507,Bills!$D$8:$D$507,$B37,Bills!$K$8:$K$507,"&gt;0",Bills!$U$8:$U$507,"&gt;="&amp;91))</f>
        <v/>
      </c>
      <c r="I37" s="67" t="str">
        <f aca="false">IF(Suppliers!$B$37="","",MAX(0,Suppliers!$R$37-SUMIFS(Bills!$P$8:$P$507,Bills!$D$8:$D$507,$B37)))</f>
        <v/>
      </c>
      <c r="J37" s="55" t="str">
        <f aca="false">IF(Suppliers!$B$37="","",IF(COUNTIFS(Bills!$D$8:$D$507,$B37,Bills!$U$8:$U$507,"&gt;0")=0,"",SUMPRODUCT(MAX((Bills!$D$8:$D$507=$B37)*Bills!$U$8:$U$507))))</f>
        <v/>
      </c>
      <c r="K37" s="54" t="str">
        <f aca="false">IF(Suppliers!$B$37="","",IF(COUNTIF(Payments!$C$8:$C$507,$B37)=0,"–",SUMPRODUCT(MAX((Payments!$C$8:$C$507=$B37)*Payments!$B$8:$B$507))))</f>
        <v/>
      </c>
      <c r="L37" s="63" t="str">
        <f aca="false">IF(Suppliers!$B$37="","",Suppliers!$F$37&amp;"")</f>
        <v/>
      </c>
      <c r="M37" s="49" t="str">
        <f aca="false">IF(Suppliers!$B$37="","",Suppliers!$N$37)</f>
        <v/>
      </c>
      <c r="N37" s="9" t="n">
        <f aca="false">IF(B37="",-1,N(H37)+N(G37)+N(F37)+N(E37)+ROW()/1000000)</f>
        <v>-1</v>
      </c>
    </row>
    <row r="38" customFormat="false" ht="15" hidden="false" customHeight="false" outlineLevel="0" collapsed="false">
      <c r="A38" s="40" t="str">
        <f aca="false">IF(Suppliers!$B$38="","",32)</f>
        <v/>
      </c>
      <c r="B38" s="65" t="str">
        <f aca="false">IF(Suppliers!$B$38="","",Suppliers!$B$38)</f>
        <v/>
      </c>
      <c r="C38" s="66" t="str">
        <f aca="false">IF(Suppliers!$B$38="","",Suppliers!$K$38)</f>
        <v/>
      </c>
      <c r="D38" s="46" t="str">
        <f aca="false">IF(Suppliers!$B$38="","",SUMIFS(Bills!$K$8:$K$507,Bills!$D$8:$D$507,$B38,Bills!$K$8:$K$507,"&gt;0",Bills!$U$8:$U$507,0))</f>
        <v/>
      </c>
      <c r="E38" s="46" t="str">
        <f aca="false">IF(Suppliers!$B$38="","",SUMIFS(Bills!$K$8:$K$507,Bills!$D$8:$D$507,$B38,Bills!$K$8:$K$507,"&gt;0",Bills!$U$8:$U$507,"&gt;="&amp;1,Bills!$U$8:$U$507,"&lt;="&amp;30))</f>
        <v/>
      </c>
      <c r="F38" s="46" t="str">
        <f aca="false">IF(Suppliers!$B$38="","",SUMIFS(Bills!$K$8:$K$507,Bills!$D$8:$D$507,$B38,Bills!$K$8:$K$507,"&gt;0",Bills!$U$8:$U$507,"&gt;="&amp;31,Bills!$U$8:$U$507,"&lt;="&amp;60))</f>
        <v/>
      </c>
      <c r="G38" s="46" t="str">
        <f aca="false">IF(Suppliers!$B$38="","",SUMIFS(Bills!$K$8:$K$507,Bills!$D$8:$D$507,$B38,Bills!$K$8:$K$507,"&gt;0",Bills!$U$8:$U$507,"&gt;="&amp;61,Bills!$U$8:$U$507,"&lt;="&amp;90))</f>
        <v/>
      </c>
      <c r="H38" s="46" t="str">
        <f aca="false">IF(Suppliers!$B$38="","",SUMIFS(Bills!$K$8:$K$507,Bills!$D$8:$D$507,$B38,Bills!$K$8:$K$507,"&gt;0",Bills!$U$8:$U$507,"&gt;="&amp;91))</f>
        <v/>
      </c>
      <c r="I38" s="67" t="str">
        <f aca="false">IF(Suppliers!$B$38="","",MAX(0,Suppliers!$R$38-SUMIFS(Bills!$P$8:$P$507,Bills!$D$8:$D$507,$B38)))</f>
        <v/>
      </c>
      <c r="J38" s="55" t="str">
        <f aca="false">IF(Suppliers!$B$38="","",IF(COUNTIFS(Bills!$D$8:$D$507,$B38,Bills!$U$8:$U$507,"&gt;0")=0,"",SUMPRODUCT(MAX((Bills!$D$8:$D$507=$B38)*Bills!$U$8:$U$507))))</f>
        <v/>
      </c>
      <c r="K38" s="54" t="str">
        <f aca="false">IF(Suppliers!$B$38="","",IF(COUNTIF(Payments!$C$8:$C$507,$B38)=0,"–",SUMPRODUCT(MAX((Payments!$C$8:$C$507=$B38)*Payments!$B$8:$B$507))))</f>
        <v/>
      </c>
      <c r="L38" s="63" t="str">
        <f aca="false">IF(Suppliers!$B$38="","",Suppliers!$F$38&amp;"")</f>
        <v/>
      </c>
      <c r="M38" s="49" t="str">
        <f aca="false">IF(Suppliers!$B$38="","",Suppliers!$N$38)</f>
        <v/>
      </c>
      <c r="N38" s="9" t="n">
        <f aca="false">IF(B38="",-1,N(H38)+N(G38)+N(F38)+N(E38)+ROW()/1000000)</f>
        <v>-1</v>
      </c>
    </row>
    <row r="39" customFormat="false" ht="15" hidden="false" customHeight="false" outlineLevel="0" collapsed="false">
      <c r="A39" s="40" t="str">
        <f aca="false">IF(Suppliers!$B$39="","",33)</f>
        <v/>
      </c>
      <c r="B39" s="65" t="str">
        <f aca="false">IF(Suppliers!$B$39="","",Suppliers!$B$39)</f>
        <v/>
      </c>
      <c r="C39" s="66" t="str">
        <f aca="false">IF(Suppliers!$B$39="","",Suppliers!$K$39)</f>
        <v/>
      </c>
      <c r="D39" s="46" t="str">
        <f aca="false">IF(Suppliers!$B$39="","",SUMIFS(Bills!$K$8:$K$507,Bills!$D$8:$D$507,$B39,Bills!$K$8:$K$507,"&gt;0",Bills!$U$8:$U$507,0))</f>
        <v/>
      </c>
      <c r="E39" s="46" t="str">
        <f aca="false">IF(Suppliers!$B$39="","",SUMIFS(Bills!$K$8:$K$507,Bills!$D$8:$D$507,$B39,Bills!$K$8:$K$507,"&gt;0",Bills!$U$8:$U$507,"&gt;="&amp;1,Bills!$U$8:$U$507,"&lt;="&amp;30))</f>
        <v/>
      </c>
      <c r="F39" s="46" t="str">
        <f aca="false">IF(Suppliers!$B$39="","",SUMIFS(Bills!$K$8:$K$507,Bills!$D$8:$D$507,$B39,Bills!$K$8:$K$507,"&gt;0",Bills!$U$8:$U$507,"&gt;="&amp;31,Bills!$U$8:$U$507,"&lt;="&amp;60))</f>
        <v/>
      </c>
      <c r="G39" s="46" t="str">
        <f aca="false">IF(Suppliers!$B$39="","",SUMIFS(Bills!$K$8:$K$507,Bills!$D$8:$D$507,$B39,Bills!$K$8:$K$507,"&gt;0",Bills!$U$8:$U$507,"&gt;="&amp;61,Bills!$U$8:$U$507,"&lt;="&amp;90))</f>
        <v/>
      </c>
      <c r="H39" s="46" t="str">
        <f aca="false">IF(Suppliers!$B$39="","",SUMIFS(Bills!$K$8:$K$507,Bills!$D$8:$D$507,$B39,Bills!$K$8:$K$507,"&gt;0",Bills!$U$8:$U$507,"&gt;="&amp;91))</f>
        <v/>
      </c>
      <c r="I39" s="67" t="str">
        <f aca="false">IF(Suppliers!$B$39="","",MAX(0,Suppliers!$R$39-SUMIFS(Bills!$P$8:$P$507,Bills!$D$8:$D$507,$B39)))</f>
        <v/>
      </c>
      <c r="J39" s="55" t="str">
        <f aca="false">IF(Suppliers!$B$39="","",IF(COUNTIFS(Bills!$D$8:$D$507,$B39,Bills!$U$8:$U$507,"&gt;0")=0,"",SUMPRODUCT(MAX((Bills!$D$8:$D$507=$B39)*Bills!$U$8:$U$507))))</f>
        <v/>
      </c>
      <c r="K39" s="54" t="str">
        <f aca="false">IF(Suppliers!$B$39="","",IF(COUNTIF(Payments!$C$8:$C$507,$B39)=0,"–",SUMPRODUCT(MAX((Payments!$C$8:$C$507=$B39)*Payments!$B$8:$B$507))))</f>
        <v/>
      </c>
      <c r="L39" s="63" t="str">
        <f aca="false">IF(Suppliers!$B$39="","",Suppliers!$F$39&amp;"")</f>
        <v/>
      </c>
      <c r="M39" s="49" t="str">
        <f aca="false">IF(Suppliers!$B$39="","",Suppliers!$N$39)</f>
        <v/>
      </c>
      <c r="N39" s="9" t="n">
        <f aca="false">IF(B39="",-1,N(H39)+N(G39)+N(F39)+N(E39)+ROW()/1000000)</f>
        <v>-1</v>
      </c>
    </row>
    <row r="40" customFormat="false" ht="15" hidden="false" customHeight="false" outlineLevel="0" collapsed="false">
      <c r="A40" s="40" t="str">
        <f aca="false">IF(Suppliers!$B$40="","",34)</f>
        <v/>
      </c>
      <c r="B40" s="65" t="str">
        <f aca="false">IF(Suppliers!$B$40="","",Suppliers!$B$40)</f>
        <v/>
      </c>
      <c r="C40" s="66" t="str">
        <f aca="false">IF(Suppliers!$B$40="","",Suppliers!$K$40)</f>
        <v/>
      </c>
      <c r="D40" s="46" t="str">
        <f aca="false">IF(Suppliers!$B$40="","",SUMIFS(Bills!$K$8:$K$507,Bills!$D$8:$D$507,$B40,Bills!$K$8:$K$507,"&gt;0",Bills!$U$8:$U$507,0))</f>
        <v/>
      </c>
      <c r="E40" s="46" t="str">
        <f aca="false">IF(Suppliers!$B$40="","",SUMIFS(Bills!$K$8:$K$507,Bills!$D$8:$D$507,$B40,Bills!$K$8:$K$507,"&gt;0",Bills!$U$8:$U$507,"&gt;="&amp;1,Bills!$U$8:$U$507,"&lt;="&amp;30))</f>
        <v/>
      </c>
      <c r="F40" s="46" t="str">
        <f aca="false">IF(Suppliers!$B$40="","",SUMIFS(Bills!$K$8:$K$507,Bills!$D$8:$D$507,$B40,Bills!$K$8:$K$507,"&gt;0",Bills!$U$8:$U$507,"&gt;="&amp;31,Bills!$U$8:$U$507,"&lt;="&amp;60))</f>
        <v/>
      </c>
      <c r="G40" s="46" t="str">
        <f aca="false">IF(Suppliers!$B$40="","",SUMIFS(Bills!$K$8:$K$507,Bills!$D$8:$D$507,$B40,Bills!$K$8:$K$507,"&gt;0",Bills!$U$8:$U$507,"&gt;="&amp;61,Bills!$U$8:$U$507,"&lt;="&amp;90))</f>
        <v/>
      </c>
      <c r="H40" s="46" t="str">
        <f aca="false">IF(Suppliers!$B$40="","",SUMIFS(Bills!$K$8:$K$507,Bills!$D$8:$D$507,$B40,Bills!$K$8:$K$507,"&gt;0",Bills!$U$8:$U$507,"&gt;="&amp;91))</f>
        <v/>
      </c>
      <c r="I40" s="67" t="str">
        <f aca="false">IF(Suppliers!$B$40="","",MAX(0,Suppliers!$R$40-SUMIFS(Bills!$P$8:$P$507,Bills!$D$8:$D$507,$B40)))</f>
        <v/>
      </c>
      <c r="J40" s="55" t="str">
        <f aca="false">IF(Suppliers!$B$40="","",IF(COUNTIFS(Bills!$D$8:$D$507,$B40,Bills!$U$8:$U$507,"&gt;0")=0,"",SUMPRODUCT(MAX((Bills!$D$8:$D$507=$B40)*Bills!$U$8:$U$507))))</f>
        <v/>
      </c>
      <c r="K40" s="54" t="str">
        <f aca="false">IF(Suppliers!$B$40="","",IF(COUNTIF(Payments!$C$8:$C$507,$B40)=0,"–",SUMPRODUCT(MAX((Payments!$C$8:$C$507=$B40)*Payments!$B$8:$B$507))))</f>
        <v/>
      </c>
      <c r="L40" s="63" t="str">
        <f aca="false">IF(Suppliers!$B$40="","",Suppliers!$F$40&amp;"")</f>
        <v/>
      </c>
      <c r="M40" s="49" t="str">
        <f aca="false">IF(Suppliers!$B$40="","",Suppliers!$N$40)</f>
        <v/>
      </c>
      <c r="N40" s="9" t="n">
        <f aca="false">IF(B40="",-1,N(H40)+N(G40)+N(F40)+N(E40)+ROW()/1000000)</f>
        <v>-1</v>
      </c>
    </row>
    <row r="41" customFormat="false" ht="15" hidden="false" customHeight="false" outlineLevel="0" collapsed="false">
      <c r="A41" s="40" t="str">
        <f aca="false">IF(Suppliers!$B$41="","",35)</f>
        <v/>
      </c>
      <c r="B41" s="65" t="str">
        <f aca="false">IF(Suppliers!$B$41="","",Suppliers!$B$41)</f>
        <v/>
      </c>
      <c r="C41" s="66" t="str">
        <f aca="false">IF(Suppliers!$B$41="","",Suppliers!$K$41)</f>
        <v/>
      </c>
      <c r="D41" s="46" t="str">
        <f aca="false">IF(Suppliers!$B$41="","",SUMIFS(Bills!$K$8:$K$507,Bills!$D$8:$D$507,$B41,Bills!$K$8:$K$507,"&gt;0",Bills!$U$8:$U$507,0))</f>
        <v/>
      </c>
      <c r="E41" s="46" t="str">
        <f aca="false">IF(Suppliers!$B$41="","",SUMIFS(Bills!$K$8:$K$507,Bills!$D$8:$D$507,$B41,Bills!$K$8:$K$507,"&gt;0",Bills!$U$8:$U$507,"&gt;="&amp;1,Bills!$U$8:$U$507,"&lt;="&amp;30))</f>
        <v/>
      </c>
      <c r="F41" s="46" t="str">
        <f aca="false">IF(Suppliers!$B$41="","",SUMIFS(Bills!$K$8:$K$507,Bills!$D$8:$D$507,$B41,Bills!$K$8:$K$507,"&gt;0",Bills!$U$8:$U$507,"&gt;="&amp;31,Bills!$U$8:$U$507,"&lt;="&amp;60))</f>
        <v/>
      </c>
      <c r="G41" s="46" t="str">
        <f aca="false">IF(Suppliers!$B$41="","",SUMIFS(Bills!$K$8:$K$507,Bills!$D$8:$D$507,$B41,Bills!$K$8:$K$507,"&gt;0",Bills!$U$8:$U$507,"&gt;="&amp;61,Bills!$U$8:$U$507,"&lt;="&amp;90))</f>
        <v/>
      </c>
      <c r="H41" s="46" t="str">
        <f aca="false">IF(Suppliers!$B$41="","",SUMIFS(Bills!$K$8:$K$507,Bills!$D$8:$D$507,$B41,Bills!$K$8:$K$507,"&gt;0",Bills!$U$8:$U$507,"&gt;="&amp;91))</f>
        <v/>
      </c>
      <c r="I41" s="67" t="str">
        <f aca="false">IF(Suppliers!$B$41="","",MAX(0,Suppliers!$R$41-SUMIFS(Bills!$P$8:$P$507,Bills!$D$8:$D$507,$B41)))</f>
        <v/>
      </c>
      <c r="J41" s="55" t="str">
        <f aca="false">IF(Suppliers!$B$41="","",IF(COUNTIFS(Bills!$D$8:$D$507,$B41,Bills!$U$8:$U$507,"&gt;0")=0,"",SUMPRODUCT(MAX((Bills!$D$8:$D$507=$B41)*Bills!$U$8:$U$507))))</f>
        <v/>
      </c>
      <c r="K41" s="54" t="str">
        <f aca="false">IF(Suppliers!$B$41="","",IF(COUNTIF(Payments!$C$8:$C$507,$B41)=0,"–",SUMPRODUCT(MAX((Payments!$C$8:$C$507=$B41)*Payments!$B$8:$B$507))))</f>
        <v/>
      </c>
      <c r="L41" s="63" t="str">
        <f aca="false">IF(Suppliers!$B$41="","",Suppliers!$F$41&amp;"")</f>
        <v/>
      </c>
      <c r="M41" s="49" t="str">
        <f aca="false">IF(Suppliers!$B$41="","",Suppliers!$N$41)</f>
        <v/>
      </c>
      <c r="N41" s="9" t="n">
        <f aca="false">IF(B41="",-1,N(H41)+N(G41)+N(F41)+N(E41)+ROW()/1000000)</f>
        <v>-1</v>
      </c>
    </row>
    <row r="42" customFormat="false" ht="15" hidden="false" customHeight="false" outlineLevel="0" collapsed="false">
      <c r="A42" s="40" t="str">
        <f aca="false">IF(Suppliers!$B$42="","",36)</f>
        <v/>
      </c>
      <c r="B42" s="65" t="str">
        <f aca="false">IF(Suppliers!$B$42="","",Suppliers!$B$42)</f>
        <v/>
      </c>
      <c r="C42" s="66" t="str">
        <f aca="false">IF(Suppliers!$B$42="","",Suppliers!$K$42)</f>
        <v/>
      </c>
      <c r="D42" s="46" t="str">
        <f aca="false">IF(Suppliers!$B$42="","",SUMIFS(Bills!$K$8:$K$507,Bills!$D$8:$D$507,$B42,Bills!$K$8:$K$507,"&gt;0",Bills!$U$8:$U$507,0))</f>
        <v/>
      </c>
      <c r="E42" s="46" t="str">
        <f aca="false">IF(Suppliers!$B$42="","",SUMIFS(Bills!$K$8:$K$507,Bills!$D$8:$D$507,$B42,Bills!$K$8:$K$507,"&gt;0",Bills!$U$8:$U$507,"&gt;="&amp;1,Bills!$U$8:$U$507,"&lt;="&amp;30))</f>
        <v/>
      </c>
      <c r="F42" s="46" t="str">
        <f aca="false">IF(Suppliers!$B$42="","",SUMIFS(Bills!$K$8:$K$507,Bills!$D$8:$D$507,$B42,Bills!$K$8:$K$507,"&gt;0",Bills!$U$8:$U$507,"&gt;="&amp;31,Bills!$U$8:$U$507,"&lt;="&amp;60))</f>
        <v/>
      </c>
      <c r="G42" s="46" t="str">
        <f aca="false">IF(Suppliers!$B$42="","",SUMIFS(Bills!$K$8:$K$507,Bills!$D$8:$D$507,$B42,Bills!$K$8:$K$507,"&gt;0",Bills!$U$8:$U$507,"&gt;="&amp;61,Bills!$U$8:$U$507,"&lt;="&amp;90))</f>
        <v/>
      </c>
      <c r="H42" s="46" t="str">
        <f aca="false">IF(Suppliers!$B$42="","",SUMIFS(Bills!$K$8:$K$507,Bills!$D$8:$D$507,$B42,Bills!$K$8:$K$507,"&gt;0",Bills!$U$8:$U$507,"&gt;="&amp;91))</f>
        <v/>
      </c>
      <c r="I42" s="67" t="str">
        <f aca="false">IF(Suppliers!$B$42="","",MAX(0,Suppliers!$R$42-SUMIFS(Bills!$P$8:$P$507,Bills!$D$8:$D$507,$B42)))</f>
        <v/>
      </c>
      <c r="J42" s="55" t="str">
        <f aca="false">IF(Suppliers!$B$42="","",IF(COUNTIFS(Bills!$D$8:$D$507,$B42,Bills!$U$8:$U$507,"&gt;0")=0,"",SUMPRODUCT(MAX((Bills!$D$8:$D$507=$B42)*Bills!$U$8:$U$507))))</f>
        <v/>
      </c>
      <c r="K42" s="54" t="str">
        <f aca="false">IF(Suppliers!$B$42="","",IF(COUNTIF(Payments!$C$8:$C$507,$B42)=0,"–",SUMPRODUCT(MAX((Payments!$C$8:$C$507=$B42)*Payments!$B$8:$B$507))))</f>
        <v/>
      </c>
      <c r="L42" s="63" t="str">
        <f aca="false">IF(Suppliers!$B$42="","",Suppliers!$F$42&amp;"")</f>
        <v/>
      </c>
      <c r="M42" s="49" t="str">
        <f aca="false">IF(Suppliers!$B$42="","",Suppliers!$N$42)</f>
        <v/>
      </c>
      <c r="N42" s="9" t="n">
        <f aca="false">IF(B42="",-1,N(H42)+N(G42)+N(F42)+N(E42)+ROW()/1000000)</f>
        <v>-1</v>
      </c>
    </row>
    <row r="43" customFormat="false" ht="15" hidden="false" customHeight="false" outlineLevel="0" collapsed="false">
      <c r="A43" s="40" t="str">
        <f aca="false">IF(Suppliers!$B$43="","",37)</f>
        <v/>
      </c>
      <c r="B43" s="65" t="str">
        <f aca="false">IF(Suppliers!$B$43="","",Suppliers!$B$43)</f>
        <v/>
      </c>
      <c r="C43" s="66" t="str">
        <f aca="false">IF(Suppliers!$B$43="","",Suppliers!$K$43)</f>
        <v/>
      </c>
      <c r="D43" s="46" t="str">
        <f aca="false">IF(Suppliers!$B$43="","",SUMIFS(Bills!$K$8:$K$507,Bills!$D$8:$D$507,$B43,Bills!$K$8:$K$507,"&gt;0",Bills!$U$8:$U$507,0))</f>
        <v/>
      </c>
      <c r="E43" s="46" t="str">
        <f aca="false">IF(Suppliers!$B$43="","",SUMIFS(Bills!$K$8:$K$507,Bills!$D$8:$D$507,$B43,Bills!$K$8:$K$507,"&gt;0",Bills!$U$8:$U$507,"&gt;="&amp;1,Bills!$U$8:$U$507,"&lt;="&amp;30))</f>
        <v/>
      </c>
      <c r="F43" s="46" t="str">
        <f aca="false">IF(Suppliers!$B$43="","",SUMIFS(Bills!$K$8:$K$507,Bills!$D$8:$D$507,$B43,Bills!$K$8:$K$507,"&gt;0",Bills!$U$8:$U$507,"&gt;="&amp;31,Bills!$U$8:$U$507,"&lt;="&amp;60))</f>
        <v/>
      </c>
      <c r="G43" s="46" t="str">
        <f aca="false">IF(Suppliers!$B$43="","",SUMIFS(Bills!$K$8:$K$507,Bills!$D$8:$D$507,$B43,Bills!$K$8:$K$507,"&gt;0",Bills!$U$8:$U$507,"&gt;="&amp;61,Bills!$U$8:$U$507,"&lt;="&amp;90))</f>
        <v/>
      </c>
      <c r="H43" s="46" t="str">
        <f aca="false">IF(Suppliers!$B$43="","",SUMIFS(Bills!$K$8:$K$507,Bills!$D$8:$D$507,$B43,Bills!$K$8:$K$507,"&gt;0",Bills!$U$8:$U$507,"&gt;="&amp;91))</f>
        <v/>
      </c>
      <c r="I43" s="67" t="str">
        <f aca="false">IF(Suppliers!$B$43="","",MAX(0,Suppliers!$R$43-SUMIFS(Bills!$P$8:$P$507,Bills!$D$8:$D$507,$B43)))</f>
        <v/>
      </c>
      <c r="J43" s="55" t="str">
        <f aca="false">IF(Suppliers!$B$43="","",IF(COUNTIFS(Bills!$D$8:$D$507,$B43,Bills!$U$8:$U$507,"&gt;0")=0,"",SUMPRODUCT(MAX((Bills!$D$8:$D$507=$B43)*Bills!$U$8:$U$507))))</f>
        <v/>
      </c>
      <c r="K43" s="54" t="str">
        <f aca="false">IF(Suppliers!$B$43="","",IF(COUNTIF(Payments!$C$8:$C$507,$B43)=0,"–",SUMPRODUCT(MAX((Payments!$C$8:$C$507=$B43)*Payments!$B$8:$B$507))))</f>
        <v/>
      </c>
      <c r="L43" s="63" t="str">
        <f aca="false">IF(Suppliers!$B$43="","",Suppliers!$F$43&amp;"")</f>
        <v/>
      </c>
      <c r="M43" s="49" t="str">
        <f aca="false">IF(Suppliers!$B$43="","",Suppliers!$N$43)</f>
        <v/>
      </c>
      <c r="N43" s="9" t="n">
        <f aca="false">IF(B43="",-1,N(H43)+N(G43)+N(F43)+N(E43)+ROW()/1000000)</f>
        <v>-1</v>
      </c>
    </row>
    <row r="44" customFormat="false" ht="15" hidden="false" customHeight="false" outlineLevel="0" collapsed="false">
      <c r="A44" s="40" t="str">
        <f aca="false">IF(Suppliers!$B$44="","",38)</f>
        <v/>
      </c>
      <c r="B44" s="65" t="str">
        <f aca="false">IF(Suppliers!$B$44="","",Suppliers!$B$44)</f>
        <v/>
      </c>
      <c r="C44" s="66" t="str">
        <f aca="false">IF(Suppliers!$B$44="","",Suppliers!$K$44)</f>
        <v/>
      </c>
      <c r="D44" s="46" t="str">
        <f aca="false">IF(Suppliers!$B$44="","",SUMIFS(Bills!$K$8:$K$507,Bills!$D$8:$D$507,$B44,Bills!$K$8:$K$507,"&gt;0",Bills!$U$8:$U$507,0))</f>
        <v/>
      </c>
      <c r="E44" s="46" t="str">
        <f aca="false">IF(Suppliers!$B$44="","",SUMIFS(Bills!$K$8:$K$507,Bills!$D$8:$D$507,$B44,Bills!$K$8:$K$507,"&gt;0",Bills!$U$8:$U$507,"&gt;="&amp;1,Bills!$U$8:$U$507,"&lt;="&amp;30))</f>
        <v/>
      </c>
      <c r="F44" s="46" t="str">
        <f aca="false">IF(Suppliers!$B$44="","",SUMIFS(Bills!$K$8:$K$507,Bills!$D$8:$D$507,$B44,Bills!$K$8:$K$507,"&gt;0",Bills!$U$8:$U$507,"&gt;="&amp;31,Bills!$U$8:$U$507,"&lt;="&amp;60))</f>
        <v/>
      </c>
      <c r="G44" s="46" t="str">
        <f aca="false">IF(Suppliers!$B$44="","",SUMIFS(Bills!$K$8:$K$507,Bills!$D$8:$D$507,$B44,Bills!$K$8:$K$507,"&gt;0",Bills!$U$8:$U$507,"&gt;="&amp;61,Bills!$U$8:$U$507,"&lt;="&amp;90))</f>
        <v/>
      </c>
      <c r="H44" s="46" t="str">
        <f aca="false">IF(Suppliers!$B$44="","",SUMIFS(Bills!$K$8:$K$507,Bills!$D$8:$D$507,$B44,Bills!$K$8:$K$507,"&gt;0",Bills!$U$8:$U$507,"&gt;="&amp;91))</f>
        <v/>
      </c>
      <c r="I44" s="67" t="str">
        <f aca="false">IF(Suppliers!$B$44="","",MAX(0,Suppliers!$R$44-SUMIFS(Bills!$P$8:$P$507,Bills!$D$8:$D$507,$B44)))</f>
        <v/>
      </c>
      <c r="J44" s="55" t="str">
        <f aca="false">IF(Suppliers!$B$44="","",IF(COUNTIFS(Bills!$D$8:$D$507,$B44,Bills!$U$8:$U$507,"&gt;0")=0,"",SUMPRODUCT(MAX((Bills!$D$8:$D$507=$B44)*Bills!$U$8:$U$507))))</f>
        <v/>
      </c>
      <c r="K44" s="54" t="str">
        <f aca="false">IF(Suppliers!$B$44="","",IF(COUNTIF(Payments!$C$8:$C$507,$B44)=0,"–",SUMPRODUCT(MAX((Payments!$C$8:$C$507=$B44)*Payments!$B$8:$B$507))))</f>
        <v/>
      </c>
      <c r="L44" s="63" t="str">
        <f aca="false">IF(Suppliers!$B$44="","",Suppliers!$F$44&amp;"")</f>
        <v/>
      </c>
      <c r="M44" s="49" t="str">
        <f aca="false">IF(Suppliers!$B$44="","",Suppliers!$N$44)</f>
        <v/>
      </c>
      <c r="N44" s="9" t="n">
        <f aca="false">IF(B44="",-1,N(H44)+N(G44)+N(F44)+N(E44)+ROW()/1000000)</f>
        <v>-1</v>
      </c>
    </row>
    <row r="45" customFormat="false" ht="15" hidden="false" customHeight="false" outlineLevel="0" collapsed="false">
      <c r="A45" s="40" t="str">
        <f aca="false">IF(Suppliers!$B$45="","",39)</f>
        <v/>
      </c>
      <c r="B45" s="65" t="str">
        <f aca="false">IF(Suppliers!$B$45="","",Suppliers!$B$45)</f>
        <v/>
      </c>
      <c r="C45" s="66" t="str">
        <f aca="false">IF(Suppliers!$B$45="","",Suppliers!$K$45)</f>
        <v/>
      </c>
      <c r="D45" s="46" t="str">
        <f aca="false">IF(Suppliers!$B$45="","",SUMIFS(Bills!$K$8:$K$507,Bills!$D$8:$D$507,$B45,Bills!$K$8:$K$507,"&gt;0",Bills!$U$8:$U$507,0))</f>
        <v/>
      </c>
      <c r="E45" s="46" t="str">
        <f aca="false">IF(Suppliers!$B$45="","",SUMIFS(Bills!$K$8:$K$507,Bills!$D$8:$D$507,$B45,Bills!$K$8:$K$507,"&gt;0",Bills!$U$8:$U$507,"&gt;="&amp;1,Bills!$U$8:$U$507,"&lt;="&amp;30))</f>
        <v/>
      </c>
      <c r="F45" s="46" t="str">
        <f aca="false">IF(Suppliers!$B$45="","",SUMIFS(Bills!$K$8:$K$507,Bills!$D$8:$D$507,$B45,Bills!$K$8:$K$507,"&gt;0",Bills!$U$8:$U$507,"&gt;="&amp;31,Bills!$U$8:$U$507,"&lt;="&amp;60))</f>
        <v/>
      </c>
      <c r="G45" s="46" t="str">
        <f aca="false">IF(Suppliers!$B$45="","",SUMIFS(Bills!$K$8:$K$507,Bills!$D$8:$D$507,$B45,Bills!$K$8:$K$507,"&gt;0",Bills!$U$8:$U$507,"&gt;="&amp;61,Bills!$U$8:$U$507,"&lt;="&amp;90))</f>
        <v/>
      </c>
      <c r="H45" s="46" t="str">
        <f aca="false">IF(Suppliers!$B$45="","",SUMIFS(Bills!$K$8:$K$507,Bills!$D$8:$D$507,$B45,Bills!$K$8:$K$507,"&gt;0",Bills!$U$8:$U$507,"&gt;="&amp;91))</f>
        <v/>
      </c>
      <c r="I45" s="67" t="str">
        <f aca="false">IF(Suppliers!$B$45="","",MAX(0,Suppliers!$R$45-SUMIFS(Bills!$P$8:$P$507,Bills!$D$8:$D$507,$B45)))</f>
        <v/>
      </c>
      <c r="J45" s="55" t="str">
        <f aca="false">IF(Suppliers!$B$45="","",IF(COUNTIFS(Bills!$D$8:$D$507,$B45,Bills!$U$8:$U$507,"&gt;0")=0,"",SUMPRODUCT(MAX((Bills!$D$8:$D$507=$B45)*Bills!$U$8:$U$507))))</f>
        <v/>
      </c>
      <c r="K45" s="54" t="str">
        <f aca="false">IF(Suppliers!$B$45="","",IF(COUNTIF(Payments!$C$8:$C$507,$B45)=0,"–",SUMPRODUCT(MAX((Payments!$C$8:$C$507=$B45)*Payments!$B$8:$B$507))))</f>
        <v/>
      </c>
      <c r="L45" s="63" t="str">
        <f aca="false">IF(Suppliers!$B$45="","",Suppliers!$F$45&amp;"")</f>
        <v/>
      </c>
      <c r="M45" s="49" t="str">
        <f aca="false">IF(Suppliers!$B$45="","",Suppliers!$N$45)</f>
        <v/>
      </c>
      <c r="N45" s="9" t="n">
        <f aca="false">IF(B45="",-1,N(H45)+N(G45)+N(F45)+N(E45)+ROW()/1000000)</f>
        <v>-1</v>
      </c>
    </row>
    <row r="46" customFormat="false" ht="15" hidden="false" customHeight="false" outlineLevel="0" collapsed="false">
      <c r="A46" s="40" t="str">
        <f aca="false">IF(Suppliers!$B$46="","",40)</f>
        <v/>
      </c>
      <c r="B46" s="65" t="str">
        <f aca="false">IF(Suppliers!$B$46="","",Suppliers!$B$46)</f>
        <v/>
      </c>
      <c r="C46" s="66" t="str">
        <f aca="false">IF(Suppliers!$B$46="","",Suppliers!$K$46)</f>
        <v/>
      </c>
      <c r="D46" s="46" t="str">
        <f aca="false">IF(Suppliers!$B$46="","",SUMIFS(Bills!$K$8:$K$507,Bills!$D$8:$D$507,$B46,Bills!$K$8:$K$507,"&gt;0",Bills!$U$8:$U$507,0))</f>
        <v/>
      </c>
      <c r="E46" s="46" t="str">
        <f aca="false">IF(Suppliers!$B$46="","",SUMIFS(Bills!$K$8:$K$507,Bills!$D$8:$D$507,$B46,Bills!$K$8:$K$507,"&gt;0",Bills!$U$8:$U$507,"&gt;="&amp;1,Bills!$U$8:$U$507,"&lt;="&amp;30))</f>
        <v/>
      </c>
      <c r="F46" s="46" t="str">
        <f aca="false">IF(Suppliers!$B$46="","",SUMIFS(Bills!$K$8:$K$507,Bills!$D$8:$D$507,$B46,Bills!$K$8:$K$507,"&gt;0",Bills!$U$8:$U$507,"&gt;="&amp;31,Bills!$U$8:$U$507,"&lt;="&amp;60))</f>
        <v/>
      </c>
      <c r="G46" s="46" t="str">
        <f aca="false">IF(Suppliers!$B$46="","",SUMIFS(Bills!$K$8:$K$507,Bills!$D$8:$D$507,$B46,Bills!$K$8:$K$507,"&gt;0",Bills!$U$8:$U$507,"&gt;="&amp;61,Bills!$U$8:$U$507,"&lt;="&amp;90))</f>
        <v/>
      </c>
      <c r="H46" s="46" t="str">
        <f aca="false">IF(Suppliers!$B$46="","",SUMIFS(Bills!$K$8:$K$507,Bills!$D$8:$D$507,$B46,Bills!$K$8:$K$507,"&gt;0",Bills!$U$8:$U$507,"&gt;="&amp;91))</f>
        <v/>
      </c>
      <c r="I46" s="67" t="str">
        <f aca="false">IF(Suppliers!$B$46="","",MAX(0,Suppliers!$R$46-SUMIFS(Bills!$P$8:$P$507,Bills!$D$8:$D$507,$B46)))</f>
        <v/>
      </c>
      <c r="J46" s="55" t="str">
        <f aca="false">IF(Suppliers!$B$46="","",IF(COUNTIFS(Bills!$D$8:$D$507,$B46,Bills!$U$8:$U$507,"&gt;0")=0,"",SUMPRODUCT(MAX((Bills!$D$8:$D$507=$B46)*Bills!$U$8:$U$507))))</f>
        <v/>
      </c>
      <c r="K46" s="54" t="str">
        <f aca="false">IF(Suppliers!$B$46="","",IF(COUNTIF(Payments!$C$8:$C$507,$B46)=0,"–",SUMPRODUCT(MAX((Payments!$C$8:$C$507=$B46)*Payments!$B$8:$B$507))))</f>
        <v/>
      </c>
      <c r="L46" s="63" t="str">
        <f aca="false">IF(Suppliers!$B$46="","",Suppliers!$F$46&amp;"")</f>
        <v/>
      </c>
      <c r="M46" s="49" t="str">
        <f aca="false">IF(Suppliers!$B$46="","",Suppliers!$N$46)</f>
        <v/>
      </c>
      <c r="N46" s="9" t="n">
        <f aca="false">IF(B46="",-1,N(H46)+N(G46)+N(F46)+N(E46)+ROW()/1000000)</f>
        <v>-1</v>
      </c>
    </row>
    <row r="47" customFormat="false" ht="15" hidden="false" customHeight="false" outlineLevel="0" collapsed="false">
      <c r="A47" s="40" t="str">
        <f aca="false">IF(Suppliers!$B$47="","",41)</f>
        <v/>
      </c>
      <c r="B47" s="65" t="str">
        <f aca="false">IF(Suppliers!$B$47="","",Suppliers!$B$47)</f>
        <v/>
      </c>
      <c r="C47" s="66" t="str">
        <f aca="false">IF(Suppliers!$B$47="","",Suppliers!$K$47)</f>
        <v/>
      </c>
      <c r="D47" s="46" t="str">
        <f aca="false">IF(Suppliers!$B$47="","",SUMIFS(Bills!$K$8:$K$507,Bills!$D$8:$D$507,$B47,Bills!$K$8:$K$507,"&gt;0",Bills!$U$8:$U$507,0))</f>
        <v/>
      </c>
      <c r="E47" s="46" t="str">
        <f aca="false">IF(Suppliers!$B$47="","",SUMIFS(Bills!$K$8:$K$507,Bills!$D$8:$D$507,$B47,Bills!$K$8:$K$507,"&gt;0",Bills!$U$8:$U$507,"&gt;="&amp;1,Bills!$U$8:$U$507,"&lt;="&amp;30))</f>
        <v/>
      </c>
      <c r="F47" s="46" t="str">
        <f aca="false">IF(Suppliers!$B$47="","",SUMIFS(Bills!$K$8:$K$507,Bills!$D$8:$D$507,$B47,Bills!$K$8:$K$507,"&gt;0",Bills!$U$8:$U$507,"&gt;="&amp;31,Bills!$U$8:$U$507,"&lt;="&amp;60))</f>
        <v/>
      </c>
      <c r="G47" s="46" t="str">
        <f aca="false">IF(Suppliers!$B$47="","",SUMIFS(Bills!$K$8:$K$507,Bills!$D$8:$D$507,$B47,Bills!$K$8:$K$507,"&gt;0",Bills!$U$8:$U$507,"&gt;="&amp;61,Bills!$U$8:$U$507,"&lt;="&amp;90))</f>
        <v/>
      </c>
      <c r="H47" s="46" t="str">
        <f aca="false">IF(Suppliers!$B$47="","",SUMIFS(Bills!$K$8:$K$507,Bills!$D$8:$D$507,$B47,Bills!$K$8:$K$507,"&gt;0",Bills!$U$8:$U$507,"&gt;="&amp;91))</f>
        <v/>
      </c>
      <c r="I47" s="67" t="str">
        <f aca="false">IF(Suppliers!$B$47="","",MAX(0,Suppliers!$R$47-SUMIFS(Bills!$P$8:$P$507,Bills!$D$8:$D$507,$B47)))</f>
        <v/>
      </c>
      <c r="J47" s="55" t="str">
        <f aca="false">IF(Suppliers!$B$47="","",IF(COUNTIFS(Bills!$D$8:$D$507,$B47,Bills!$U$8:$U$507,"&gt;0")=0,"",SUMPRODUCT(MAX((Bills!$D$8:$D$507=$B47)*Bills!$U$8:$U$507))))</f>
        <v/>
      </c>
      <c r="K47" s="54" t="str">
        <f aca="false">IF(Suppliers!$B$47="","",IF(COUNTIF(Payments!$C$8:$C$507,$B47)=0,"–",SUMPRODUCT(MAX((Payments!$C$8:$C$507=$B47)*Payments!$B$8:$B$507))))</f>
        <v/>
      </c>
      <c r="L47" s="63" t="str">
        <f aca="false">IF(Suppliers!$B$47="","",Suppliers!$F$47&amp;"")</f>
        <v/>
      </c>
      <c r="M47" s="49" t="str">
        <f aca="false">IF(Suppliers!$B$47="","",Suppliers!$N$47)</f>
        <v/>
      </c>
      <c r="N47" s="9" t="n">
        <f aca="false">IF(B47="",-1,N(H47)+N(G47)+N(F47)+N(E47)+ROW()/1000000)</f>
        <v>-1</v>
      </c>
    </row>
    <row r="48" customFormat="false" ht="15" hidden="false" customHeight="false" outlineLevel="0" collapsed="false">
      <c r="A48" s="40" t="str">
        <f aca="false">IF(Suppliers!$B$48="","",42)</f>
        <v/>
      </c>
      <c r="B48" s="65" t="str">
        <f aca="false">IF(Suppliers!$B$48="","",Suppliers!$B$48)</f>
        <v/>
      </c>
      <c r="C48" s="66" t="str">
        <f aca="false">IF(Suppliers!$B$48="","",Suppliers!$K$48)</f>
        <v/>
      </c>
      <c r="D48" s="46" t="str">
        <f aca="false">IF(Suppliers!$B$48="","",SUMIFS(Bills!$K$8:$K$507,Bills!$D$8:$D$507,$B48,Bills!$K$8:$K$507,"&gt;0",Bills!$U$8:$U$507,0))</f>
        <v/>
      </c>
      <c r="E48" s="46" t="str">
        <f aca="false">IF(Suppliers!$B$48="","",SUMIFS(Bills!$K$8:$K$507,Bills!$D$8:$D$507,$B48,Bills!$K$8:$K$507,"&gt;0",Bills!$U$8:$U$507,"&gt;="&amp;1,Bills!$U$8:$U$507,"&lt;="&amp;30))</f>
        <v/>
      </c>
      <c r="F48" s="46" t="str">
        <f aca="false">IF(Suppliers!$B$48="","",SUMIFS(Bills!$K$8:$K$507,Bills!$D$8:$D$507,$B48,Bills!$K$8:$K$507,"&gt;0",Bills!$U$8:$U$507,"&gt;="&amp;31,Bills!$U$8:$U$507,"&lt;="&amp;60))</f>
        <v/>
      </c>
      <c r="G48" s="46" t="str">
        <f aca="false">IF(Suppliers!$B$48="","",SUMIFS(Bills!$K$8:$K$507,Bills!$D$8:$D$507,$B48,Bills!$K$8:$K$507,"&gt;0",Bills!$U$8:$U$507,"&gt;="&amp;61,Bills!$U$8:$U$507,"&lt;="&amp;90))</f>
        <v/>
      </c>
      <c r="H48" s="46" t="str">
        <f aca="false">IF(Suppliers!$B$48="","",SUMIFS(Bills!$K$8:$K$507,Bills!$D$8:$D$507,$B48,Bills!$K$8:$K$507,"&gt;0",Bills!$U$8:$U$507,"&gt;="&amp;91))</f>
        <v/>
      </c>
      <c r="I48" s="67" t="str">
        <f aca="false">IF(Suppliers!$B$48="","",MAX(0,Suppliers!$R$48-SUMIFS(Bills!$P$8:$P$507,Bills!$D$8:$D$507,$B48)))</f>
        <v/>
      </c>
      <c r="J48" s="55" t="str">
        <f aca="false">IF(Suppliers!$B$48="","",IF(COUNTIFS(Bills!$D$8:$D$507,$B48,Bills!$U$8:$U$507,"&gt;0")=0,"",SUMPRODUCT(MAX((Bills!$D$8:$D$507=$B48)*Bills!$U$8:$U$507))))</f>
        <v/>
      </c>
      <c r="K48" s="54" t="str">
        <f aca="false">IF(Suppliers!$B$48="","",IF(COUNTIF(Payments!$C$8:$C$507,$B48)=0,"–",SUMPRODUCT(MAX((Payments!$C$8:$C$507=$B48)*Payments!$B$8:$B$507))))</f>
        <v/>
      </c>
      <c r="L48" s="63" t="str">
        <f aca="false">IF(Suppliers!$B$48="","",Suppliers!$F$48&amp;"")</f>
        <v/>
      </c>
      <c r="M48" s="49" t="str">
        <f aca="false">IF(Suppliers!$B$48="","",Suppliers!$N$48)</f>
        <v/>
      </c>
      <c r="N48" s="9" t="n">
        <f aca="false">IF(B48="",-1,N(H48)+N(G48)+N(F48)+N(E48)+ROW()/1000000)</f>
        <v>-1</v>
      </c>
    </row>
    <row r="49" customFormat="false" ht="15" hidden="false" customHeight="false" outlineLevel="0" collapsed="false">
      <c r="A49" s="40" t="str">
        <f aca="false">IF(Suppliers!$B$49="","",43)</f>
        <v/>
      </c>
      <c r="B49" s="65" t="str">
        <f aca="false">IF(Suppliers!$B$49="","",Suppliers!$B$49)</f>
        <v/>
      </c>
      <c r="C49" s="66" t="str">
        <f aca="false">IF(Suppliers!$B$49="","",Suppliers!$K$49)</f>
        <v/>
      </c>
      <c r="D49" s="46" t="str">
        <f aca="false">IF(Suppliers!$B$49="","",SUMIFS(Bills!$K$8:$K$507,Bills!$D$8:$D$507,$B49,Bills!$K$8:$K$507,"&gt;0",Bills!$U$8:$U$507,0))</f>
        <v/>
      </c>
      <c r="E49" s="46" t="str">
        <f aca="false">IF(Suppliers!$B$49="","",SUMIFS(Bills!$K$8:$K$507,Bills!$D$8:$D$507,$B49,Bills!$K$8:$K$507,"&gt;0",Bills!$U$8:$U$507,"&gt;="&amp;1,Bills!$U$8:$U$507,"&lt;="&amp;30))</f>
        <v/>
      </c>
      <c r="F49" s="46" t="str">
        <f aca="false">IF(Suppliers!$B$49="","",SUMIFS(Bills!$K$8:$K$507,Bills!$D$8:$D$507,$B49,Bills!$K$8:$K$507,"&gt;0",Bills!$U$8:$U$507,"&gt;="&amp;31,Bills!$U$8:$U$507,"&lt;="&amp;60))</f>
        <v/>
      </c>
      <c r="G49" s="46" t="str">
        <f aca="false">IF(Suppliers!$B$49="","",SUMIFS(Bills!$K$8:$K$507,Bills!$D$8:$D$507,$B49,Bills!$K$8:$K$507,"&gt;0",Bills!$U$8:$U$507,"&gt;="&amp;61,Bills!$U$8:$U$507,"&lt;="&amp;90))</f>
        <v/>
      </c>
      <c r="H49" s="46" t="str">
        <f aca="false">IF(Suppliers!$B$49="","",SUMIFS(Bills!$K$8:$K$507,Bills!$D$8:$D$507,$B49,Bills!$K$8:$K$507,"&gt;0",Bills!$U$8:$U$507,"&gt;="&amp;91))</f>
        <v/>
      </c>
      <c r="I49" s="67" t="str">
        <f aca="false">IF(Suppliers!$B$49="","",MAX(0,Suppliers!$R$49-SUMIFS(Bills!$P$8:$P$507,Bills!$D$8:$D$507,$B49)))</f>
        <v/>
      </c>
      <c r="J49" s="55" t="str">
        <f aca="false">IF(Suppliers!$B$49="","",IF(COUNTIFS(Bills!$D$8:$D$507,$B49,Bills!$U$8:$U$507,"&gt;0")=0,"",SUMPRODUCT(MAX((Bills!$D$8:$D$507=$B49)*Bills!$U$8:$U$507))))</f>
        <v/>
      </c>
      <c r="K49" s="54" t="str">
        <f aca="false">IF(Suppliers!$B$49="","",IF(COUNTIF(Payments!$C$8:$C$507,$B49)=0,"–",SUMPRODUCT(MAX((Payments!$C$8:$C$507=$B49)*Payments!$B$8:$B$507))))</f>
        <v/>
      </c>
      <c r="L49" s="63" t="str">
        <f aca="false">IF(Suppliers!$B$49="","",Suppliers!$F$49&amp;"")</f>
        <v/>
      </c>
      <c r="M49" s="49" t="str">
        <f aca="false">IF(Suppliers!$B$49="","",Suppliers!$N$49)</f>
        <v/>
      </c>
      <c r="N49" s="9" t="n">
        <f aca="false">IF(B49="",-1,N(H49)+N(G49)+N(F49)+N(E49)+ROW()/1000000)</f>
        <v>-1</v>
      </c>
    </row>
    <row r="50" customFormat="false" ht="15" hidden="false" customHeight="false" outlineLevel="0" collapsed="false">
      <c r="A50" s="40" t="str">
        <f aca="false">IF(Suppliers!$B$50="","",44)</f>
        <v/>
      </c>
      <c r="B50" s="65" t="str">
        <f aca="false">IF(Suppliers!$B$50="","",Suppliers!$B$50)</f>
        <v/>
      </c>
      <c r="C50" s="66" t="str">
        <f aca="false">IF(Suppliers!$B$50="","",Suppliers!$K$50)</f>
        <v/>
      </c>
      <c r="D50" s="46" t="str">
        <f aca="false">IF(Suppliers!$B$50="","",SUMIFS(Bills!$K$8:$K$507,Bills!$D$8:$D$507,$B50,Bills!$K$8:$K$507,"&gt;0",Bills!$U$8:$U$507,0))</f>
        <v/>
      </c>
      <c r="E50" s="46" t="str">
        <f aca="false">IF(Suppliers!$B$50="","",SUMIFS(Bills!$K$8:$K$507,Bills!$D$8:$D$507,$B50,Bills!$K$8:$K$507,"&gt;0",Bills!$U$8:$U$507,"&gt;="&amp;1,Bills!$U$8:$U$507,"&lt;="&amp;30))</f>
        <v/>
      </c>
      <c r="F50" s="46" t="str">
        <f aca="false">IF(Suppliers!$B$50="","",SUMIFS(Bills!$K$8:$K$507,Bills!$D$8:$D$507,$B50,Bills!$K$8:$K$507,"&gt;0",Bills!$U$8:$U$507,"&gt;="&amp;31,Bills!$U$8:$U$507,"&lt;="&amp;60))</f>
        <v/>
      </c>
      <c r="G50" s="46" t="str">
        <f aca="false">IF(Suppliers!$B$50="","",SUMIFS(Bills!$K$8:$K$507,Bills!$D$8:$D$507,$B50,Bills!$K$8:$K$507,"&gt;0",Bills!$U$8:$U$507,"&gt;="&amp;61,Bills!$U$8:$U$507,"&lt;="&amp;90))</f>
        <v/>
      </c>
      <c r="H50" s="46" t="str">
        <f aca="false">IF(Suppliers!$B$50="","",SUMIFS(Bills!$K$8:$K$507,Bills!$D$8:$D$507,$B50,Bills!$K$8:$K$507,"&gt;0",Bills!$U$8:$U$507,"&gt;="&amp;91))</f>
        <v/>
      </c>
      <c r="I50" s="67" t="str">
        <f aca="false">IF(Suppliers!$B$50="","",MAX(0,Suppliers!$R$50-SUMIFS(Bills!$P$8:$P$507,Bills!$D$8:$D$507,$B50)))</f>
        <v/>
      </c>
      <c r="J50" s="55" t="str">
        <f aca="false">IF(Suppliers!$B$50="","",IF(COUNTIFS(Bills!$D$8:$D$507,$B50,Bills!$U$8:$U$507,"&gt;0")=0,"",SUMPRODUCT(MAX((Bills!$D$8:$D$507=$B50)*Bills!$U$8:$U$507))))</f>
        <v/>
      </c>
      <c r="K50" s="54" t="str">
        <f aca="false">IF(Suppliers!$B$50="","",IF(COUNTIF(Payments!$C$8:$C$507,$B50)=0,"–",SUMPRODUCT(MAX((Payments!$C$8:$C$507=$B50)*Payments!$B$8:$B$507))))</f>
        <v/>
      </c>
      <c r="L50" s="63" t="str">
        <f aca="false">IF(Suppliers!$B$50="","",Suppliers!$F$50&amp;"")</f>
        <v/>
      </c>
      <c r="M50" s="49" t="str">
        <f aca="false">IF(Suppliers!$B$50="","",Suppliers!$N$50)</f>
        <v/>
      </c>
      <c r="N50" s="9" t="n">
        <f aca="false">IF(B50="",-1,N(H50)+N(G50)+N(F50)+N(E50)+ROW()/1000000)</f>
        <v>-1</v>
      </c>
    </row>
    <row r="51" customFormat="false" ht="15" hidden="false" customHeight="false" outlineLevel="0" collapsed="false">
      <c r="A51" s="40" t="str">
        <f aca="false">IF(Suppliers!$B$51="","",45)</f>
        <v/>
      </c>
      <c r="B51" s="65" t="str">
        <f aca="false">IF(Suppliers!$B$51="","",Suppliers!$B$51)</f>
        <v/>
      </c>
      <c r="C51" s="66" t="str">
        <f aca="false">IF(Suppliers!$B$51="","",Suppliers!$K$51)</f>
        <v/>
      </c>
      <c r="D51" s="46" t="str">
        <f aca="false">IF(Suppliers!$B$51="","",SUMIFS(Bills!$K$8:$K$507,Bills!$D$8:$D$507,$B51,Bills!$K$8:$K$507,"&gt;0",Bills!$U$8:$U$507,0))</f>
        <v/>
      </c>
      <c r="E51" s="46" t="str">
        <f aca="false">IF(Suppliers!$B$51="","",SUMIFS(Bills!$K$8:$K$507,Bills!$D$8:$D$507,$B51,Bills!$K$8:$K$507,"&gt;0",Bills!$U$8:$U$507,"&gt;="&amp;1,Bills!$U$8:$U$507,"&lt;="&amp;30))</f>
        <v/>
      </c>
      <c r="F51" s="46" t="str">
        <f aca="false">IF(Suppliers!$B$51="","",SUMIFS(Bills!$K$8:$K$507,Bills!$D$8:$D$507,$B51,Bills!$K$8:$K$507,"&gt;0",Bills!$U$8:$U$507,"&gt;="&amp;31,Bills!$U$8:$U$507,"&lt;="&amp;60))</f>
        <v/>
      </c>
      <c r="G51" s="46" t="str">
        <f aca="false">IF(Suppliers!$B$51="","",SUMIFS(Bills!$K$8:$K$507,Bills!$D$8:$D$507,$B51,Bills!$K$8:$K$507,"&gt;0",Bills!$U$8:$U$507,"&gt;="&amp;61,Bills!$U$8:$U$507,"&lt;="&amp;90))</f>
        <v/>
      </c>
      <c r="H51" s="46" t="str">
        <f aca="false">IF(Suppliers!$B$51="","",SUMIFS(Bills!$K$8:$K$507,Bills!$D$8:$D$507,$B51,Bills!$K$8:$K$507,"&gt;0",Bills!$U$8:$U$507,"&gt;="&amp;91))</f>
        <v/>
      </c>
      <c r="I51" s="67" t="str">
        <f aca="false">IF(Suppliers!$B$51="","",MAX(0,Suppliers!$R$51-SUMIFS(Bills!$P$8:$P$507,Bills!$D$8:$D$507,$B51)))</f>
        <v/>
      </c>
      <c r="J51" s="55" t="str">
        <f aca="false">IF(Suppliers!$B$51="","",IF(COUNTIFS(Bills!$D$8:$D$507,$B51,Bills!$U$8:$U$507,"&gt;0")=0,"",SUMPRODUCT(MAX((Bills!$D$8:$D$507=$B51)*Bills!$U$8:$U$507))))</f>
        <v/>
      </c>
      <c r="K51" s="54" t="str">
        <f aca="false">IF(Suppliers!$B$51="","",IF(COUNTIF(Payments!$C$8:$C$507,$B51)=0,"–",SUMPRODUCT(MAX((Payments!$C$8:$C$507=$B51)*Payments!$B$8:$B$507))))</f>
        <v/>
      </c>
      <c r="L51" s="63" t="str">
        <f aca="false">IF(Suppliers!$B$51="","",Suppliers!$F$51&amp;"")</f>
        <v/>
      </c>
      <c r="M51" s="49" t="str">
        <f aca="false">IF(Suppliers!$B$51="","",Suppliers!$N$51)</f>
        <v/>
      </c>
      <c r="N51" s="9" t="n">
        <f aca="false">IF(B51="",-1,N(H51)+N(G51)+N(F51)+N(E51)+ROW()/1000000)</f>
        <v>-1</v>
      </c>
    </row>
    <row r="52" customFormat="false" ht="15" hidden="false" customHeight="false" outlineLevel="0" collapsed="false">
      <c r="A52" s="40" t="str">
        <f aca="false">IF(Suppliers!$B$52="","",46)</f>
        <v/>
      </c>
      <c r="B52" s="65" t="str">
        <f aca="false">IF(Suppliers!$B$52="","",Suppliers!$B$52)</f>
        <v/>
      </c>
      <c r="C52" s="66" t="str">
        <f aca="false">IF(Suppliers!$B$52="","",Suppliers!$K$52)</f>
        <v/>
      </c>
      <c r="D52" s="46" t="str">
        <f aca="false">IF(Suppliers!$B$52="","",SUMIFS(Bills!$K$8:$K$507,Bills!$D$8:$D$507,$B52,Bills!$K$8:$K$507,"&gt;0",Bills!$U$8:$U$507,0))</f>
        <v/>
      </c>
      <c r="E52" s="46" t="str">
        <f aca="false">IF(Suppliers!$B$52="","",SUMIFS(Bills!$K$8:$K$507,Bills!$D$8:$D$507,$B52,Bills!$K$8:$K$507,"&gt;0",Bills!$U$8:$U$507,"&gt;="&amp;1,Bills!$U$8:$U$507,"&lt;="&amp;30))</f>
        <v/>
      </c>
      <c r="F52" s="46" t="str">
        <f aca="false">IF(Suppliers!$B$52="","",SUMIFS(Bills!$K$8:$K$507,Bills!$D$8:$D$507,$B52,Bills!$K$8:$K$507,"&gt;0",Bills!$U$8:$U$507,"&gt;="&amp;31,Bills!$U$8:$U$507,"&lt;="&amp;60))</f>
        <v/>
      </c>
      <c r="G52" s="46" t="str">
        <f aca="false">IF(Suppliers!$B$52="","",SUMIFS(Bills!$K$8:$K$507,Bills!$D$8:$D$507,$B52,Bills!$K$8:$K$507,"&gt;0",Bills!$U$8:$U$507,"&gt;="&amp;61,Bills!$U$8:$U$507,"&lt;="&amp;90))</f>
        <v/>
      </c>
      <c r="H52" s="46" t="str">
        <f aca="false">IF(Suppliers!$B$52="","",SUMIFS(Bills!$K$8:$K$507,Bills!$D$8:$D$507,$B52,Bills!$K$8:$K$507,"&gt;0",Bills!$U$8:$U$507,"&gt;="&amp;91))</f>
        <v/>
      </c>
      <c r="I52" s="67" t="str">
        <f aca="false">IF(Suppliers!$B$52="","",MAX(0,Suppliers!$R$52-SUMIFS(Bills!$P$8:$P$507,Bills!$D$8:$D$507,$B52)))</f>
        <v/>
      </c>
      <c r="J52" s="55" t="str">
        <f aca="false">IF(Suppliers!$B$52="","",IF(COUNTIFS(Bills!$D$8:$D$507,$B52,Bills!$U$8:$U$507,"&gt;0")=0,"",SUMPRODUCT(MAX((Bills!$D$8:$D$507=$B52)*Bills!$U$8:$U$507))))</f>
        <v/>
      </c>
      <c r="K52" s="54" t="str">
        <f aca="false">IF(Suppliers!$B$52="","",IF(COUNTIF(Payments!$C$8:$C$507,$B52)=0,"–",SUMPRODUCT(MAX((Payments!$C$8:$C$507=$B52)*Payments!$B$8:$B$507))))</f>
        <v/>
      </c>
      <c r="L52" s="63" t="str">
        <f aca="false">IF(Suppliers!$B$52="","",Suppliers!$F$52&amp;"")</f>
        <v/>
      </c>
      <c r="M52" s="49" t="str">
        <f aca="false">IF(Suppliers!$B$52="","",Suppliers!$N$52)</f>
        <v/>
      </c>
      <c r="N52" s="9" t="n">
        <f aca="false">IF(B52="",-1,N(H52)+N(G52)+N(F52)+N(E52)+ROW()/1000000)</f>
        <v>-1</v>
      </c>
    </row>
    <row r="53" customFormat="false" ht="15" hidden="false" customHeight="false" outlineLevel="0" collapsed="false">
      <c r="A53" s="40" t="str">
        <f aca="false">IF(Suppliers!$B$53="","",47)</f>
        <v/>
      </c>
      <c r="B53" s="65" t="str">
        <f aca="false">IF(Suppliers!$B$53="","",Suppliers!$B$53)</f>
        <v/>
      </c>
      <c r="C53" s="66" t="str">
        <f aca="false">IF(Suppliers!$B$53="","",Suppliers!$K$53)</f>
        <v/>
      </c>
      <c r="D53" s="46" t="str">
        <f aca="false">IF(Suppliers!$B$53="","",SUMIFS(Bills!$K$8:$K$507,Bills!$D$8:$D$507,$B53,Bills!$K$8:$K$507,"&gt;0",Bills!$U$8:$U$507,0))</f>
        <v/>
      </c>
      <c r="E53" s="46" t="str">
        <f aca="false">IF(Suppliers!$B$53="","",SUMIFS(Bills!$K$8:$K$507,Bills!$D$8:$D$507,$B53,Bills!$K$8:$K$507,"&gt;0",Bills!$U$8:$U$507,"&gt;="&amp;1,Bills!$U$8:$U$507,"&lt;="&amp;30))</f>
        <v/>
      </c>
      <c r="F53" s="46" t="str">
        <f aca="false">IF(Suppliers!$B$53="","",SUMIFS(Bills!$K$8:$K$507,Bills!$D$8:$D$507,$B53,Bills!$K$8:$K$507,"&gt;0",Bills!$U$8:$U$507,"&gt;="&amp;31,Bills!$U$8:$U$507,"&lt;="&amp;60))</f>
        <v/>
      </c>
      <c r="G53" s="46" t="str">
        <f aca="false">IF(Suppliers!$B$53="","",SUMIFS(Bills!$K$8:$K$507,Bills!$D$8:$D$507,$B53,Bills!$K$8:$K$507,"&gt;0",Bills!$U$8:$U$507,"&gt;="&amp;61,Bills!$U$8:$U$507,"&lt;="&amp;90))</f>
        <v/>
      </c>
      <c r="H53" s="46" t="str">
        <f aca="false">IF(Suppliers!$B$53="","",SUMIFS(Bills!$K$8:$K$507,Bills!$D$8:$D$507,$B53,Bills!$K$8:$K$507,"&gt;0",Bills!$U$8:$U$507,"&gt;="&amp;91))</f>
        <v/>
      </c>
      <c r="I53" s="67" t="str">
        <f aca="false">IF(Suppliers!$B$53="","",MAX(0,Suppliers!$R$53-SUMIFS(Bills!$P$8:$P$507,Bills!$D$8:$D$507,$B53)))</f>
        <v/>
      </c>
      <c r="J53" s="55" t="str">
        <f aca="false">IF(Suppliers!$B$53="","",IF(COUNTIFS(Bills!$D$8:$D$507,$B53,Bills!$U$8:$U$507,"&gt;0")=0,"",SUMPRODUCT(MAX((Bills!$D$8:$D$507=$B53)*Bills!$U$8:$U$507))))</f>
        <v/>
      </c>
      <c r="K53" s="54" t="str">
        <f aca="false">IF(Suppliers!$B$53="","",IF(COUNTIF(Payments!$C$8:$C$507,$B53)=0,"–",SUMPRODUCT(MAX((Payments!$C$8:$C$507=$B53)*Payments!$B$8:$B$507))))</f>
        <v/>
      </c>
      <c r="L53" s="63" t="str">
        <f aca="false">IF(Suppliers!$B$53="","",Suppliers!$F$53&amp;"")</f>
        <v/>
      </c>
      <c r="M53" s="49" t="str">
        <f aca="false">IF(Suppliers!$B$53="","",Suppliers!$N$53)</f>
        <v/>
      </c>
      <c r="N53" s="9" t="n">
        <f aca="false">IF(B53="",-1,N(H53)+N(G53)+N(F53)+N(E53)+ROW()/1000000)</f>
        <v>-1</v>
      </c>
    </row>
    <row r="54" customFormat="false" ht="15" hidden="false" customHeight="false" outlineLevel="0" collapsed="false">
      <c r="A54" s="40" t="str">
        <f aca="false">IF(Suppliers!$B$54="","",48)</f>
        <v/>
      </c>
      <c r="B54" s="65" t="str">
        <f aca="false">IF(Suppliers!$B$54="","",Suppliers!$B$54)</f>
        <v/>
      </c>
      <c r="C54" s="66" t="str">
        <f aca="false">IF(Suppliers!$B$54="","",Suppliers!$K$54)</f>
        <v/>
      </c>
      <c r="D54" s="46" t="str">
        <f aca="false">IF(Suppliers!$B$54="","",SUMIFS(Bills!$K$8:$K$507,Bills!$D$8:$D$507,$B54,Bills!$K$8:$K$507,"&gt;0",Bills!$U$8:$U$507,0))</f>
        <v/>
      </c>
      <c r="E54" s="46" t="str">
        <f aca="false">IF(Suppliers!$B$54="","",SUMIFS(Bills!$K$8:$K$507,Bills!$D$8:$D$507,$B54,Bills!$K$8:$K$507,"&gt;0",Bills!$U$8:$U$507,"&gt;="&amp;1,Bills!$U$8:$U$507,"&lt;="&amp;30))</f>
        <v/>
      </c>
      <c r="F54" s="46" t="str">
        <f aca="false">IF(Suppliers!$B$54="","",SUMIFS(Bills!$K$8:$K$507,Bills!$D$8:$D$507,$B54,Bills!$K$8:$K$507,"&gt;0",Bills!$U$8:$U$507,"&gt;="&amp;31,Bills!$U$8:$U$507,"&lt;="&amp;60))</f>
        <v/>
      </c>
      <c r="G54" s="46" t="str">
        <f aca="false">IF(Suppliers!$B$54="","",SUMIFS(Bills!$K$8:$K$507,Bills!$D$8:$D$507,$B54,Bills!$K$8:$K$507,"&gt;0",Bills!$U$8:$U$507,"&gt;="&amp;61,Bills!$U$8:$U$507,"&lt;="&amp;90))</f>
        <v/>
      </c>
      <c r="H54" s="46" t="str">
        <f aca="false">IF(Suppliers!$B$54="","",SUMIFS(Bills!$K$8:$K$507,Bills!$D$8:$D$507,$B54,Bills!$K$8:$K$507,"&gt;0",Bills!$U$8:$U$507,"&gt;="&amp;91))</f>
        <v/>
      </c>
      <c r="I54" s="67" t="str">
        <f aca="false">IF(Suppliers!$B$54="","",MAX(0,Suppliers!$R$54-SUMIFS(Bills!$P$8:$P$507,Bills!$D$8:$D$507,$B54)))</f>
        <v/>
      </c>
      <c r="J54" s="55" t="str">
        <f aca="false">IF(Suppliers!$B$54="","",IF(COUNTIFS(Bills!$D$8:$D$507,$B54,Bills!$U$8:$U$507,"&gt;0")=0,"",SUMPRODUCT(MAX((Bills!$D$8:$D$507=$B54)*Bills!$U$8:$U$507))))</f>
        <v/>
      </c>
      <c r="K54" s="54" t="str">
        <f aca="false">IF(Suppliers!$B$54="","",IF(COUNTIF(Payments!$C$8:$C$507,$B54)=0,"–",SUMPRODUCT(MAX((Payments!$C$8:$C$507=$B54)*Payments!$B$8:$B$507))))</f>
        <v/>
      </c>
      <c r="L54" s="63" t="str">
        <f aca="false">IF(Suppliers!$B$54="","",Suppliers!$F$54&amp;"")</f>
        <v/>
      </c>
      <c r="M54" s="49" t="str">
        <f aca="false">IF(Suppliers!$B$54="","",Suppliers!$N$54)</f>
        <v/>
      </c>
      <c r="N54" s="9" t="n">
        <f aca="false">IF(B54="",-1,N(H54)+N(G54)+N(F54)+N(E54)+ROW()/1000000)</f>
        <v>-1</v>
      </c>
    </row>
    <row r="55" customFormat="false" ht="15" hidden="false" customHeight="false" outlineLevel="0" collapsed="false">
      <c r="A55" s="40" t="str">
        <f aca="false">IF(Suppliers!$B$55="","",49)</f>
        <v/>
      </c>
      <c r="B55" s="65" t="str">
        <f aca="false">IF(Suppliers!$B$55="","",Suppliers!$B$55)</f>
        <v/>
      </c>
      <c r="C55" s="66" t="str">
        <f aca="false">IF(Suppliers!$B$55="","",Suppliers!$K$55)</f>
        <v/>
      </c>
      <c r="D55" s="46" t="str">
        <f aca="false">IF(Suppliers!$B$55="","",SUMIFS(Bills!$K$8:$K$507,Bills!$D$8:$D$507,$B55,Bills!$K$8:$K$507,"&gt;0",Bills!$U$8:$U$507,0))</f>
        <v/>
      </c>
      <c r="E55" s="46" t="str">
        <f aca="false">IF(Suppliers!$B$55="","",SUMIFS(Bills!$K$8:$K$507,Bills!$D$8:$D$507,$B55,Bills!$K$8:$K$507,"&gt;0",Bills!$U$8:$U$507,"&gt;="&amp;1,Bills!$U$8:$U$507,"&lt;="&amp;30))</f>
        <v/>
      </c>
      <c r="F55" s="46" t="str">
        <f aca="false">IF(Suppliers!$B$55="","",SUMIFS(Bills!$K$8:$K$507,Bills!$D$8:$D$507,$B55,Bills!$K$8:$K$507,"&gt;0",Bills!$U$8:$U$507,"&gt;="&amp;31,Bills!$U$8:$U$507,"&lt;="&amp;60))</f>
        <v/>
      </c>
      <c r="G55" s="46" t="str">
        <f aca="false">IF(Suppliers!$B$55="","",SUMIFS(Bills!$K$8:$K$507,Bills!$D$8:$D$507,$B55,Bills!$K$8:$K$507,"&gt;0",Bills!$U$8:$U$507,"&gt;="&amp;61,Bills!$U$8:$U$507,"&lt;="&amp;90))</f>
        <v/>
      </c>
      <c r="H55" s="46" t="str">
        <f aca="false">IF(Suppliers!$B$55="","",SUMIFS(Bills!$K$8:$K$507,Bills!$D$8:$D$507,$B55,Bills!$K$8:$K$507,"&gt;0",Bills!$U$8:$U$507,"&gt;="&amp;91))</f>
        <v/>
      </c>
      <c r="I55" s="67" t="str">
        <f aca="false">IF(Suppliers!$B$55="","",MAX(0,Suppliers!$R$55-SUMIFS(Bills!$P$8:$P$507,Bills!$D$8:$D$507,$B55)))</f>
        <v/>
      </c>
      <c r="J55" s="55" t="str">
        <f aca="false">IF(Suppliers!$B$55="","",IF(COUNTIFS(Bills!$D$8:$D$507,$B55,Bills!$U$8:$U$507,"&gt;0")=0,"",SUMPRODUCT(MAX((Bills!$D$8:$D$507=$B55)*Bills!$U$8:$U$507))))</f>
        <v/>
      </c>
      <c r="K55" s="54" t="str">
        <f aca="false">IF(Suppliers!$B$55="","",IF(COUNTIF(Payments!$C$8:$C$507,$B55)=0,"–",SUMPRODUCT(MAX((Payments!$C$8:$C$507=$B55)*Payments!$B$8:$B$507))))</f>
        <v/>
      </c>
      <c r="L55" s="63" t="str">
        <f aca="false">IF(Suppliers!$B$55="","",Suppliers!$F$55&amp;"")</f>
        <v/>
      </c>
      <c r="M55" s="49" t="str">
        <f aca="false">IF(Suppliers!$B$55="","",Suppliers!$N$55)</f>
        <v/>
      </c>
      <c r="N55" s="9" t="n">
        <f aca="false">IF(B55="",-1,N(H55)+N(G55)+N(F55)+N(E55)+ROW()/1000000)</f>
        <v>-1</v>
      </c>
    </row>
    <row r="56" customFormat="false" ht="15" hidden="false" customHeight="false" outlineLevel="0" collapsed="false">
      <c r="A56" s="40" t="str">
        <f aca="false">IF(Suppliers!$B$56="","",50)</f>
        <v/>
      </c>
      <c r="B56" s="65" t="str">
        <f aca="false">IF(Suppliers!$B$56="","",Suppliers!$B$56)</f>
        <v/>
      </c>
      <c r="C56" s="66" t="str">
        <f aca="false">IF(Suppliers!$B$56="","",Suppliers!$K$56)</f>
        <v/>
      </c>
      <c r="D56" s="46" t="str">
        <f aca="false">IF(Suppliers!$B$56="","",SUMIFS(Bills!$K$8:$K$507,Bills!$D$8:$D$507,$B56,Bills!$K$8:$K$507,"&gt;0",Bills!$U$8:$U$507,0))</f>
        <v/>
      </c>
      <c r="E56" s="46" t="str">
        <f aca="false">IF(Suppliers!$B$56="","",SUMIFS(Bills!$K$8:$K$507,Bills!$D$8:$D$507,$B56,Bills!$K$8:$K$507,"&gt;0",Bills!$U$8:$U$507,"&gt;="&amp;1,Bills!$U$8:$U$507,"&lt;="&amp;30))</f>
        <v/>
      </c>
      <c r="F56" s="46" t="str">
        <f aca="false">IF(Suppliers!$B$56="","",SUMIFS(Bills!$K$8:$K$507,Bills!$D$8:$D$507,$B56,Bills!$K$8:$K$507,"&gt;0",Bills!$U$8:$U$507,"&gt;="&amp;31,Bills!$U$8:$U$507,"&lt;="&amp;60))</f>
        <v/>
      </c>
      <c r="G56" s="46" t="str">
        <f aca="false">IF(Suppliers!$B$56="","",SUMIFS(Bills!$K$8:$K$507,Bills!$D$8:$D$507,$B56,Bills!$K$8:$K$507,"&gt;0",Bills!$U$8:$U$507,"&gt;="&amp;61,Bills!$U$8:$U$507,"&lt;="&amp;90))</f>
        <v/>
      </c>
      <c r="H56" s="46" t="str">
        <f aca="false">IF(Suppliers!$B$56="","",SUMIFS(Bills!$K$8:$K$507,Bills!$D$8:$D$507,$B56,Bills!$K$8:$K$507,"&gt;0",Bills!$U$8:$U$507,"&gt;="&amp;91))</f>
        <v/>
      </c>
      <c r="I56" s="67" t="str">
        <f aca="false">IF(Suppliers!$B$56="","",MAX(0,Suppliers!$R$56-SUMIFS(Bills!$P$8:$P$507,Bills!$D$8:$D$507,$B56)))</f>
        <v/>
      </c>
      <c r="J56" s="55" t="str">
        <f aca="false">IF(Suppliers!$B$56="","",IF(COUNTIFS(Bills!$D$8:$D$507,$B56,Bills!$U$8:$U$507,"&gt;0")=0,"",SUMPRODUCT(MAX((Bills!$D$8:$D$507=$B56)*Bills!$U$8:$U$507))))</f>
        <v/>
      </c>
      <c r="K56" s="54" t="str">
        <f aca="false">IF(Suppliers!$B$56="","",IF(COUNTIF(Payments!$C$8:$C$507,$B56)=0,"–",SUMPRODUCT(MAX((Payments!$C$8:$C$507=$B56)*Payments!$B$8:$B$507))))</f>
        <v/>
      </c>
      <c r="L56" s="63" t="str">
        <f aca="false">IF(Suppliers!$B$56="","",Suppliers!$F$56&amp;"")</f>
        <v/>
      </c>
      <c r="M56" s="49" t="str">
        <f aca="false">IF(Suppliers!$B$56="","",Suppliers!$N$56)</f>
        <v/>
      </c>
      <c r="N56" s="9" t="n">
        <f aca="false">IF(B56="",-1,N(H56)+N(G56)+N(F56)+N(E56)+ROW()/1000000)</f>
        <v>-1</v>
      </c>
    </row>
    <row r="57" customFormat="false" ht="15" hidden="false" customHeight="false" outlineLevel="0" collapsed="false">
      <c r="A57" s="40" t="str">
        <f aca="false">IF(Suppliers!$B$57="","",51)</f>
        <v/>
      </c>
      <c r="B57" s="65" t="str">
        <f aca="false">IF(Suppliers!$B$57="","",Suppliers!$B$57)</f>
        <v/>
      </c>
      <c r="C57" s="66" t="str">
        <f aca="false">IF(Suppliers!$B$57="","",Suppliers!$K$57)</f>
        <v/>
      </c>
      <c r="D57" s="46" t="str">
        <f aca="false">IF(Suppliers!$B$57="","",SUMIFS(Bills!$K$8:$K$507,Bills!$D$8:$D$507,$B57,Bills!$K$8:$K$507,"&gt;0",Bills!$U$8:$U$507,0))</f>
        <v/>
      </c>
      <c r="E57" s="46" t="str">
        <f aca="false">IF(Suppliers!$B$57="","",SUMIFS(Bills!$K$8:$K$507,Bills!$D$8:$D$507,$B57,Bills!$K$8:$K$507,"&gt;0",Bills!$U$8:$U$507,"&gt;="&amp;1,Bills!$U$8:$U$507,"&lt;="&amp;30))</f>
        <v/>
      </c>
      <c r="F57" s="46" t="str">
        <f aca="false">IF(Suppliers!$B$57="","",SUMIFS(Bills!$K$8:$K$507,Bills!$D$8:$D$507,$B57,Bills!$K$8:$K$507,"&gt;0",Bills!$U$8:$U$507,"&gt;="&amp;31,Bills!$U$8:$U$507,"&lt;="&amp;60))</f>
        <v/>
      </c>
      <c r="G57" s="46" t="str">
        <f aca="false">IF(Suppliers!$B$57="","",SUMIFS(Bills!$K$8:$K$507,Bills!$D$8:$D$507,$B57,Bills!$K$8:$K$507,"&gt;0",Bills!$U$8:$U$507,"&gt;="&amp;61,Bills!$U$8:$U$507,"&lt;="&amp;90))</f>
        <v/>
      </c>
      <c r="H57" s="46" t="str">
        <f aca="false">IF(Suppliers!$B$57="","",SUMIFS(Bills!$K$8:$K$507,Bills!$D$8:$D$507,$B57,Bills!$K$8:$K$507,"&gt;0",Bills!$U$8:$U$507,"&gt;="&amp;91))</f>
        <v/>
      </c>
      <c r="I57" s="67" t="str">
        <f aca="false">IF(Suppliers!$B$57="","",MAX(0,Suppliers!$R$57-SUMIFS(Bills!$P$8:$P$507,Bills!$D$8:$D$507,$B57)))</f>
        <v/>
      </c>
      <c r="J57" s="55" t="str">
        <f aca="false">IF(Suppliers!$B$57="","",IF(COUNTIFS(Bills!$D$8:$D$507,$B57,Bills!$U$8:$U$507,"&gt;0")=0,"",SUMPRODUCT(MAX((Bills!$D$8:$D$507=$B57)*Bills!$U$8:$U$507))))</f>
        <v/>
      </c>
      <c r="K57" s="54" t="str">
        <f aca="false">IF(Suppliers!$B$57="","",IF(COUNTIF(Payments!$C$8:$C$507,$B57)=0,"–",SUMPRODUCT(MAX((Payments!$C$8:$C$507=$B57)*Payments!$B$8:$B$507))))</f>
        <v/>
      </c>
      <c r="L57" s="63" t="str">
        <f aca="false">IF(Suppliers!$B$57="","",Suppliers!$F$57&amp;"")</f>
        <v/>
      </c>
      <c r="M57" s="49" t="str">
        <f aca="false">IF(Suppliers!$B$57="","",Suppliers!$N$57)</f>
        <v/>
      </c>
      <c r="N57" s="9" t="n">
        <f aca="false">IF(B57="",-1,N(H57)+N(G57)+N(F57)+N(E57)+ROW()/1000000)</f>
        <v>-1</v>
      </c>
    </row>
    <row r="58" customFormat="false" ht="15" hidden="false" customHeight="false" outlineLevel="0" collapsed="false">
      <c r="A58" s="40" t="str">
        <f aca="false">IF(Suppliers!$B$58="","",52)</f>
        <v/>
      </c>
      <c r="B58" s="65" t="str">
        <f aca="false">IF(Suppliers!$B$58="","",Suppliers!$B$58)</f>
        <v/>
      </c>
      <c r="C58" s="66" t="str">
        <f aca="false">IF(Suppliers!$B$58="","",Suppliers!$K$58)</f>
        <v/>
      </c>
      <c r="D58" s="46" t="str">
        <f aca="false">IF(Suppliers!$B$58="","",SUMIFS(Bills!$K$8:$K$507,Bills!$D$8:$D$507,$B58,Bills!$K$8:$K$507,"&gt;0",Bills!$U$8:$U$507,0))</f>
        <v/>
      </c>
      <c r="E58" s="46" t="str">
        <f aca="false">IF(Suppliers!$B$58="","",SUMIFS(Bills!$K$8:$K$507,Bills!$D$8:$D$507,$B58,Bills!$K$8:$K$507,"&gt;0",Bills!$U$8:$U$507,"&gt;="&amp;1,Bills!$U$8:$U$507,"&lt;="&amp;30))</f>
        <v/>
      </c>
      <c r="F58" s="46" t="str">
        <f aca="false">IF(Suppliers!$B$58="","",SUMIFS(Bills!$K$8:$K$507,Bills!$D$8:$D$507,$B58,Bills!$K$8:$K$507,"&gt;0",Bills!$U$8:$U$507,"&gt;="&amp;31,Bills!$U$8:$U$507,"&lt;="&amp;60))</f>
        <v/>
      </c>
      <c r="G58" s="46" t="str">
        <f aca="false">IF(Suppliers!$B$58="","",SUMIFS(Bills!$K$8:$K$507,Bills!$D$8:$D$507,$B58,Bills!$K$8:$K$507,"&gt;0",Bills!$U$8:$U$507,"&gt;="&amp;61,Bills!$U$8:$U$507,"&lt;="&amp;90))</f>
        <v/>
      </c>
      <c r="H58" s="46" t="str">
        <f aca="false">IF(Suppliers!$B$58="","",SUMIFS(Bills!$K$8:$K$507,Bills!$D$8:$D$507,$B58,Bills!$K$8:$K$507,"&gt;0",Bills!$U$8:$U$507,"&gt;="&amp;91))</f>
        <v/>
      </c>
      <c r="I58" s="67" t="str">
        <f aca="false">IF(Suppliers!$B$58="","",MAX(0,Suppliers!$R$58-SUMIFS(Bills!$P$8:$P$507,Bills!$D$8:$D$507,$B58)))</f>
        <v/>
      </c>
      <c r="J58" s="55" t="str">
        <f aca="false">IF(Suppliers!$B$58="","",IF(COUNTIFS(Bills!$D$8:$D$507,$B58,Bills!$U$8:$U$507,"&gt;0")=0,"",SUMPRODUCT(MAX((Bills!$D$8:$D$507=$B58)*Bills!$U$8:$U$507))))</f>
        <v/>
      </c>
      <c r="K58" s="54" t="str">
        <f aca="false">IF(Suppliers!$B$58="","",IF(COUNTIF(Payments!$C$8:$C$507,$B58)=0,"–",SUMPRODUCT(MAX((Payments!$C$8:$C$507=$B58)*Payments!$B$8:$B$507))))</f>
        <v/>
      </c>
      <c r="L58" s="63" t="str">
        <f aca="false">IF(Suppliers!$B$58="","",Suppliers!$F$58&amp;"")</f>
        <v/>
      </c>
      <c r="M58" s="49" t="str">
        <f aca="false">IF(Suppliers!$B$58="","",Suppliers!$N$58)</f>
        <v/>
      </c>
      <c r="N58" s="9" t="n">
        <f aca="false">IF(B58="",-1,N(H58)+N(G58)+N(F58)+N(E58)+ROW()/1000000)</f>
        <v>-1</v>
      </c>
    </row>
    <row r="59" customFormat="false" ht="15" hidden="false" customHeight="false" outlineLevel="0" collapsed="false">
      <c r="A59" s="40" t="str">
        <f aca="false">IF(Suppliers!$B$59="","",53)</f>
        <v/>
      </c>
      <c r="B59" s="65" t="str">
        <f aca="false">IF(Suppliers!$B$59="","",Suppliers!$B$59)</f>
        <v/>
      </c>
      <c r="C59" s="66" t="str">
        <f aca="false">IF(Suppliers!$B$59="","",Suppliers!$K$59)</f>
        <v/>
      </c>
      <c r="D59" s="46" t="str">
        <f aca="false">IF(Suppliers!$B$59="","",SUMIFS(Bills!$K$8:$K$507,Bills!$D$8:$D$507,$B59,Bills!$K$8:$K$507,"&gt;0",Bills!$U$8:$U$507,0))</f>
        <v/>
      </c>
      <c r="E59" s="46" t="str">
        <f aca="false">IF(Suppliers!$B$59="","",SUMIFS(Bills!$K$8:$K$507,Bills!$D$8:$D$507,$B59,Bills!$K$8:$K$507,"&gt;0",Bills!$U$8:$U$507,"&gt;="&amp;1,Bills!$U$8:$U$507,"&lt;="&amp;30))</f>
        <v/>
      </c>
      <c r="F59" s="46" t="str">
        <f aca="false">IF(Suppliers!$B$59="","",SUMIFS(Bills!$K$8:$K$507,Bills!$D$8:$D$507,$B59,Bills!$K$8:$K$507,"&gt;0",Bills!$U$8:$U$507,"&gt;="&amp;31,Bills!$U$8:$U$507,"&lt;="&amp;60))</f>
        <v/>
      </c>
      <c r="G59" s="46" t="str">
        <f aca="false">IF(Suppliers!$B$59="","",SUMIFS(Bills!$K$8:$K$507,Bills!$D$8:$D$507,$B59,Bills!$K$8:$K$507,"&gt;0",Bills!$U$8:$U$507,"&gt;="&amp;61,Bills!$U$8:$U$507,"&lt;="&amp;90))</f>
        <v/>
      </c>
      <c r="H59" s="46" t="str">
        <f aca="false">IF(Suppliers!$B$59="","",SUMIFS(Bills!$K$8:$K$507,Bills!$D$8:$D$507,$B59,Bills!$K$8:$K$507,"&gt;0",Bills!$U$8:$U$507,"&gt;="&amp;91))</f>
        <v/>
      </c>
      <c r="I59" s="67" t="str">
        <f aca="false">IF(Suppliers!$B$59="","",MAX(0,Suppliers!$R$59-SUMIFS(Bills!$P$8:$P$507,Bills!$D$8:$D$507,$B59)))</f>
        <v/>
      </c>
      <c r="J59" s="55" t="str">
        <f aca="false">IF(Suppliers!$B$59="","",IF(COUNTIFS(Bills!$D$8:$D$507,$B59,Bills!$U$8:$U$507,"&gt;0")=0,"",SUMPRODUCT(MAX((Bills!$D$8:$D$507=$B59)*Bills!$U$8:$U$507))))</f>
        <v/>
      </c>
      <c r="K59" s="54" t="str">
        <f aca="false">IF(Suppliers!$B$59="","",IF(COUNTIF(Payments!$C$8:$C$507,$B59)=0,"–",SUMPRODUCT(MAX((Payments!$C$8:$C$507=$B59)*Payments!$B$8:$B$507))))</f>
        <v/>
      </c>
      <c r="L59" s="63" t="str">
        <f aca="false">IF(Suppliers!$B$59="","",Suppliers!$F$59&amp;"")</f>
        <v/>
      </c>
      <c r="M59" s="49" t="str">
        <f aca="false">IF(Suppliers!$B$59="","",Suppliers!$N$59)</f>
        <v/>
      </c>
      <c r="N59" s="9" t="n">
        <f aca="false">IF(B59="",-1,N(H59)+N(G59)+N(F59)+N(E59)+ROW()/1000000)</f>
        <v>-1</v>
      </c>
    </row>
    <row r="60" customFormat="false" ht="15" hidden="false" customHeight="false" outlineLevel="0" collapsed="false">
      <c r="A60" s="40" t="str">
        <f aca="false">IF(Suppliers!$B$60="","",54)</f>
        <v/>
      </c>
      <c r="B60" s="65" t="str">
        <f aca="false">IF(Suppliers!$B$60="","",Suppliers!$B$60)</f>
        <v/>
      </c>
      <c r="C60" s="66" t="str">
        <f aca="false">IF(Suppliers!$B$60="","",Suppliers!$K$60)</f>
        <v/>
      </c>
      <c r="D60" s="46" t="str">
        <f aca="false">IF(Suppliers!$B$60="","",SUMIFS(Bills!$K$8:$K$507,Bills!$D$8:$D$507,$B60,Bills!$K$8:$K$507,"&gt;0",Bills!$U$8:$U$507,0))</f>
        <v/>
      </c>
      <c r="E60" s="46" t="str">
        <f aca="false">IF(Suppliers!$B$60="","",SUMIFS(Bills!$K$8:$K$507,Bills!$D$8:$D$507,$B60,Bills!$K$8:$K$507,"&gt;0",Bills!$U$8:$U$507,"&gt;="&amp;1,Bills!$U$8:$U$507,"&lt;="&amp;30))</f>
        <v/>
      </c>
      <c r="F60" s="46" t="str">
        <f aca="false">IF(Suppliers!$B$60="","",SUMIFS(Bills!$K$8:$K$507,Bills!$D$8:$D$507,$B60,Bills!$K$8:$K$507,"&gt;0",Bills!$U$8:$U$507,"&gt;="&amp;31,Bills!$U$8:$U$507,"&lt;="&amp;60))</f>
        <v/>
      </c>
      <c r="G60" s="46" t="str">
        <f aca="false">IF(Suppliers!$B$60="","",SUMIFS(Bills!$K$8:$K$507,Bills!$D$8:$D$507,$B60,Bills!$K$8:$K$507,"&gt;0",Bills!$U$8:$U$507,"&gt;="&amp;61,Bills!$U$8:$U$507,"&lt;="&amp;90))</f>
        <v/>
      </c>
      <c r="H60" s="46" t="str">
        <f aca="false">IF(Suppliers!$B$60="","",SUMIFS(Bills!$K$8:$K$507,Bills!$D$8:$D$507,$B60,Bills!$K$8:$K$507,"&gt;0",Bills!$U$8:$U$507,"&gt;="&amp;91))</f>
        <v/>
      </c>
      <c r="I60" s="67" t="str">
        <f aca="false">IF(Suppliers!$B$60="","",MAX(0,Suppliers!$R$60-SUMIFS(Bills!$P$8:$P$507,Bills!$D$8:$D$507,$B60)))</f>
        <v/>
      </c>
      <c r="J60" s="55" t="str">
        <f aca="false">IF(Suppliers!$B$60="","",IF(COUNTIFS(Bills!$D$8:$D$507,$B60,Bills!$U$8:$U$507,"&gt;0")=0,"",SUMPRODUCT(MAX((Bills!$D$8:$D$507=$B60)*Bills!$U$8:$U$507))))</f>
        <v/>
      </c>
      <c r="K60" s="54" t="str">
        <f aca="false">IF(Suppliers!$B$60="","",IF(COUNTIF(Payments!$C$8:$C$507,$B60)=0,"–",SUMPRODUCT(MAX((Payments!$C$8:$C$507=$B60)*Payments!$B$8:$B$507))))</f>
        <v/>
      </c>
      <c r="L60" s="63" t="str">
        <f aca="false">IF(Suppliers!$B$60="","",Suppliers!$F$60&amp;"")</f>
        <v/>
      </c>
      <c r="M60" s="49" t="str">
        <f aca="false">IF(Suppliers!$B$60="","",Suppliers!$N$60)</f>
        <v/>
      </c>
      <c r="N60" s="9" t="n">
        <f aca="false">IF(B60="",-1,N(H60)+N(G60)+N(F60)+N(E60)+ROW()/1000000)</f>
        <v>-1</v>
      </c>
    </row>
    <row r="61" customFormat="false" ht="15" hidden="false" customHeight="false" outlineLevel="0" collapsed="false">
      <c r="A61" s="40" t="str">
        <f aca="false">IF(Suppliers!$B$61="","",55)</f>
        <v/>
      </c>
      <c r="B61" s="65" t="str">
        <f aca="false">IF(Suppliers!$B$61="","",Suppliers!$B$61)</f>
        <v/>
      </c>
      <c r="C61" s="66" t="str">
        <f aca="false">IF(Suppliers!$B$61="","",Suppliers!$K$61)</f>
        <v/>
      </c>
      <c r="D61" s="46" t="str">
        <f aca="false">IF(Suppliers!$B$61="","",SUMIFS(Bills!$K$8:$K$507,Bills!$D$8:$D$507,$B61,Bills!$K$8:$K$507,"&gt;0",Bills!$U$8:$U$507,0))</f>
        <v/>
      </c>
      <c r="E61" s="46" t="str">
        <f aca="false">IF(Suppliers!$B$61="","",SUMIFS(Bills!$K$8:$K$507,Bills!$D$8:$D$507,$B61,Bills!$K$8:$K$507,"&gt;0",Bills!$U$8:$U$507,"&gt;="&amp;1,Bills!$U$8:$U$507,"&lt;="&amp;30))</f>
        <v/>
      </c>
      <c r="F61" s="46" t="str">
        <f aca="false">IF(Suppliers!$B$61="","",SUMIFS(Bills!$K$8:$K$507,Bills!$D$8:$D$507,$B61,Bills!$K$8:$K$507,"&gt;0",Bills!$U$8:$U$507,"&gt;="&amp;31,Bills!$U$8:$U$507,"&lt;="&amp;60))</f>
        <v/>
      </c>
      <c r="G61" s="46" t="str">
        <f aca="false">IF(Suppliers!$B$61="","",SUMIFS(Bills!$K$8:$K$507,Bills!$D$8:$D$507,$B61,Bills!$K$8:$K$507,"&gt;0",Bills!$U$8:$U$507,"&gt;="&amp;61,Bills!$U$8:$U$507,"&lt;="&amp;90))</f>
        <v/>
      </c>
      <c r="H61" s="46" t="str">
        <f aca="false">IF(Suppliers!$B$61="","",SUMIFS(Bills!$K$8:$K$507,Bills!$D$8:$D$507,$B61,Bills!$K$8:$K$507,"&gt;0",Bills!$U$8:$U$507,"&gt;="&amp;91))</f>
        <v/>
      </c>
      <c r="I61" s="67" t="str">
        <f aca="false">IF(Suppliers!$B$61="","",MAX(0,Suppliers!$R$61-SUMIFS(Bills!$P$8:$P$507,Bills!$D$8:$D$507,$B61)))</f>
        <v/>
      </c>
      <c r="J61" s="55" t="str">
        <f aca="false">IF(Suppliers!$B$61="","",IF(COUNTIFS(Bills!$D$8:$D$507,$B61,Bills!$U$8:$U$507,"&gt;0")=0,"",SUMPRODUCT(MAX((Bills!$D$8:$D$507=$B61)*Bills!$U$8:$U$507))))</f>
        <v/>
      </c>
      <c r="K61" s="54" t="str">
        <f aca="false">IF(Suppliers!$B$61="","",IF(COUNTIF(Payments!$C$8:$C$507,$B61)=0,"–",SUMPRODUCT(MAX((Payments!$C$8:$C$507=$B61)*Payments!$B$8:$B$507))))</f>
        <v/>
      </c>
      <c r="L61" s="63" t="str">
        <f aca="false">IF(Suppliers!$B$61="","",Suppliers!$F$61&amp;"")</f>
        <v/>
      </c>
      <c r="M61" s="49" t="str">
        <f aca="false">IF(Suppliers!$B$61="","",Suppliers!$N$61)</f>
        <v/>
      </c>
      <c r="N61" s="9" t="n">
        <f aca="false">IF(B61="",-1,N(H61)+N(G61)+N(F61)+N(E61)+ROW()/1000000)</f>
        <v>-1</v>
      </c>
    </row>
    <row r="62" customFormat="false" ht="15" hidden="false" customHeight="false" outlineLevel="0" collapsed="false">
      <c r="A62" s="40" t="str">
        <f aca="false">IF(Suppliers!$B$62="","",56)</f>
        <v/>
      </c>
      <c r="B62" s="65" t="str">
        <f aca="false">IF(Suppliers!$B$62="","",Suppliers!$B$62)</f>
        <v/>
      </c>
      <c r="C62" s="66" t="str">
        <f aca="false">IF(Suppliers!$B$62="","",Suppliers!$K$62)</f>
        <v/>
      </c>
      <c r="D62" s="46" t="str">
        <f aca="false">IF(Suppliers!$B$62="","",SUMIFS(Bills!$K$8:$K$507,Bills!$D$8:$D$507,$B62,Bills!$K$8:$K$507,"&gt;0",Bills!$U$8:$U$507,0))</f>
        <v/>
      </c>
      <c r="E62" s="46" t="str">
        <f aca="false">IF(Suppliers!$B$62="","",SUMIFS(Bills!$K$8:$K$507,Bills!$D$8:$D$507,$B62,Bills!$K$8:$K$507,"&gt;0",Bills!$U$8:$U$507,"&gt;="&amp;1,Bills!$U$8:$U$507,"&lt;="&amp;30))</f>
        <v/>
      </c>
      <c r="F62" s="46" t="str">
        <f aca="false">IF(Suppliers!$B$62="","",SUMIFS(Bills!$K$8:$K$507,Bills!$D$8:$D$507,$B62,Bills!$K$8:$K$507,"&gt;0",Bills!$U$8:$U$507,"&gt;="&amp;31,Bills!$U$8:$U$507,"&lt;="&amp;60))</f>
        <v/>
      </c>
      <c r="G62" s="46" t="str">
        <f aca="false">IF(Suppliers!$B$62="","",SUMIFS(Bills!$K$8:$K$507,Bills!$D$8:$D$507,$B62,Bills!$K$8:$K$507,"&gt;0",Bills!$U$8:$U$507,"&gt;="&amp;61,Bills!$U$8:$U$507,"&lt;="&amp;90))</f>
        <v/>
      </c>
      <c r="H62" s="46" t="str">
        <f aca="false">IF(Suppliers!$B$62="","",SUMIFS(Bills!$K$8:$K$507,Bills!$D$8:$D$507,$B62,Bills!$K$8:$K$507,"&gt;0",Bills!$U$8:$U$507,"&gt;="&amp;91))</f>
        <v/>
      </c>
      <c r="I62" s="67" t="str">
        <f aca="false">IF(Suppliers!$B$62="","",MAX(0,Suppliers!$R$62-SUMIFS(Bills!$P$8:$P$507,Bills!$D$8:$D$507,$B62)))</f>
        <v/>
      </c>
      <c r="J62" s="55" t="str">
        <f aca="false">IF(Suppliers!$B$62="","",IF(COUNTIFS(Bills!$D$8:$D$507,$B62,Bills!$U$8:$U$507,"&gt;0")=0,"",SUMPRODUCT(MAX((Bills!$D$8:$D$507=$B62)*Bills!$U$8:$U$507))))</f>
        <v/>
      </c>
      <c r="K62" s="54" t="str">
        <f aca="false">IF(Suppliers!$B$62="","",IF(COUNTIF(Payments!$C$8:$C$507,$B62)=0,"–",SUMPRODUCT(MAX((Payments!$C$8:$C$507=$B62)*Payments!$B$8:$B$507))))</f>
        <v/>
      </c>
      <c r="L62" s="63" t="str">
        <f aca="false">IF(Suppliers!$B$62="","",Suppliers!$F$62&amp;"")</f>
        <v/>
      </c>
      <c r="M62" s="49" t="str">
        <f aca="false">IF(Suppliers!$B$62="","",Suppliers!$N$62)</f>
        <v/>
      </c>
      <c r="N62" s="9" t="n">
        <f aca="false">IF(B62="",-1,N(H62)+N(G62)+N(F62)+N(E62)+ROW()/1000000)</f>
        <v>-1</v>
      </c>
    </row>
    <row r="63" customFormat="false" ht="15" hidden="false" customHeight="false" outlineLevel="0" collapsed="false">
      <c r="A63" s="40" t="str">
        <f aca="false">IF(Suppliers!$B$63="","",57)</f>
        <v/>
      </c>
      <c r="B63" s="65" t="str">
        <f aca="false">IF(Suppliers!$B$63="","",Suppliers!$B$63)</f>
        <v/>
      </c>
      <c r="C63" s="66" t="str">
        <f aca="false">IF(Suppliers!$B$63="","",Suppliers!$K$63)</f>
        <v/>
      </c>
      <c r="D63" s="46" t="str">
        <f aca="false">IF(Suppliers!$B$63="","",SUMIFS(Bills!$K$8:$K$507,Bills!$D$8:$D$507,$B63,Bills!$K$8:$K$507,"&gt;0",Bills!$U$8:$U$507,0))</f>
        <v/>
      </c>
      <c r="E63" s="46" t="str">
        <f aca="false">IF(Suppliers!$B$63="","",SUMIFS(Bills!$K$8:$K$507,Bills!$D$8:$D$507,$B63,Bills!$K$8:$K$507,"&gt;0",Bills!$U$8:$U$507,"&gt;="&amp;1,Bills!$U$8:$U$507,"&lt;="&amp;30))</f>
        <v/>
      </c>
      <c r="F63" s="46" t="str">
        <f aca="false">IF(Suppliers!$B$63="","",SUMIFS(Bills!$K$8:$K$507,Bills!$D$8:$D$507,$B63,Bills!$K$8:$K$507,"&gt;0",Bills!$U$8:$U$507,"&gt;="&amp;31,Bills!$U$8:$U$507,"&lt;="&amp;60))</f>
        <v/>
      </c>
      <c r="G63" s="46" t="str">
        <f aca="false">IF(Suppliers!$B$63="","",SUMIFS(Bills!$K$8:$K$507,Bills!$D$8:$D$507,$B63,Bills!$K$8:$K$507,"&gt;0",Bills!$U$8:$U$507,"&gt;="&amp;61,Bills!$U$8:$U$507,"&lt;="&amp;90))</f>
        <v/>
      </c>
      <c r="H63" s="46" t="str">
        <f aca="false">IF(Suppliers!$B$63="","",SUMIFS(Bills!$K$8:$K$507,Bills!$D$8:$D$507,$B63,Bills!$K$8:$K$507,"&gt;0",Bills!$U$8:$U$507,"&gt;="&amp;91))</f>
        <v/>
      </c>
      <c r="I63" s="67" t="str">
        <f aca="false">IF(Suppliers!$B$63="","",MAX(0,Suppliers!$R$63-SUMIFS(Bills!$P$8:$P$507,Bills!$D$8:$D$507,$B63)))</f>
        <v/>
      </c>
      <c r="J63" s="55" t="str">
        <f aca="false">IF(Suppliers!$B$63="","",IF(COUNTIFS(Bills!$D$8:$D$507,$B63,Bills!$U$8:$U$507,"&gt;0")=0,"",SUMPRODUCT(MAX((Bills!$D$8:$D$507=$B63)*Bills!$U$8:$U$507))))</f>
        <v/>
      </c>
      <c r="K63" s="54" t="str">
        <f aca="false">IF(Suppliers!$B$63="","",IF(COUNTIF(Payments!$C$8:$C$507,$B63)=0,"–",SUMPRODUCT(MAX((Payments!$C$8:$C$507=$B63)*Payments!$B$8:$B$507))))</f>
        <v/>
      </c>
      <c r="L63" s="63" t="str">
        <f aca="false">IF(Suppliers!$B$63="","",Suppliers!$F$63&amp;"")</f>
        <v/>
      </c>
      <c r="M63" s="49" t="str">
        <f aca="false">IF(Suppliers!$B$63="","",Suppliers!$N$63)</f>
        <v/>
      </c>
      <c r="N63" s="9" t="n">
        <f aca="false">IF(B63="",-1,N(H63)+N(G63)+N(F63)+N(E63)+ROW()/1000000)</f>
        <v>-1</v>
      </c>
    </row>
    <row r="64" customFormat="false" ht="15" hidden="false" customHeight="false" outlineLevel="0" collapsed="false">
      <c r="A64" s="40" t="str">
        <f aca="false">IF(Suppliers!$B$64="","",58)</f>
        <v/>
      </c>
      <c r="B64" s="65" t="str">
        <f aca="false">IF(Suppliers!$B$64="","",Suppliers!$B$64)</f>
        <v/>
      </c>
      <c r="C64" s="66" t="str">
        <f aca="false">IF(Suppliers!$B$64="","",Suppliers!$K$64)</f>
        <v/>
      </c>
      <c r="D64" s="46" t="str">
        <f aca="false">IF(Suppliers!$B$64="","",SUMIFS(Bills!$K$8:$K$507,Bills!$D$8:$D$507,$B64,Bills!$K$8:$K$507,"&gt;0",Bills!$U$8:$U$507,0))</f>
        <v/>
      </c>
      <c r="E64" s="46" t="str">
        <f aca="false">IF(Suppliers!$B$64="","",SUMIFS(Bills!$K$8:$K$507,Bills!$D$8:$D$507,$B64,Bills!$K$8:$K$507,"&gt;0",Bills!$U$8:$U$507,"&gt;="&amp;1,Bills!$U$8:$U$507,"&lt;="&amp;30))</f>
        <v/>
      </c>
      <c r="F64" s="46" t="str">
        <f aca="false">IF(Suppliers!$B$64="","",SUMIFS(Bills!$K$8:$K$507,Bills!$D$8:$D$507,$B64,Bills!$K$8:$K$507,"&gt;0",Bills!$U$8:$U$507,"&gt;="&amp;31,Bills!$U$8:$U$507,"&lt;="&amp;60))</f>
        <v/>
      </c>
      <c r="G64" s="46" t="str">
        <f aca="false">IF(Suppliers!$B$64="","",SUMIFS(Bills!$K$8:$K$507,Bills!$D$8:$D$507,$B64,Bills!$K$8:$K$507,"&gt;0",Bills!$U$8:$U$507,"&gt;="&amp;61,Bills!$U$8:$U$507,"&lt;="&amp;90))</f>
        <v/>
      </c>
      <c r="H64" s="46" t="str">
        <f aca="false">IF(Suppliers!$B$64="","",SUMIFS(Bills!$K$8:$K$507,Bills!$D$8:$D$507,$B64,Bills!$K$8:$K$507,"&gt;0",Bills!$U$8:$U$507,"&gt;="&amp;91))</f>
        <v/>
      </c>
      <c r="I64" s="67" t="str">
        <f aca="false">IF(Suppliers!$B$64="","",MAX(0,Suppliers!$R$64-SUMIFS(Bills!$P$8:$P$507,Bills!$D$8:$D$507,$B64)))</f>
        <v/>
      </c>
      <c r="J64" s="55" t="str">
        <f aca="false">IF(Suppliers!$B$64="","",IF(COUNTIFS(Bills!$D$8:$D$507,$B64,Bills!$U$8:$U$507,"&gt;0")=0,"",SUMPRODUCT(MAX((Bills!$D$8:$D$507=$B64)*Bills!$U$8:$U$507))))</f>
        <v/>
      </c>
      <c r="K64" s="54" t="str">
        <f aca="false">IF(Suppliers!$B$64="","",IF(COUNTIF(Payments!$C$8:$C$507,$B64)=0,"–",SUMPRODUCT(MAX((Payments!$C$8:$C$507=$B64)*Payments!$B$8:$B$507))))</f>
        <v/>
      </c>
      <c r="L64" s="63" t="str">
        <f aca="false">IF(Suppliers!$B$64="","",Suppliers!$F$64&amp;"")</f>
        <v/>
      </c>
      <c r="M64" s="49" t="str">
        <f aca="false">IF(Suppliers!$B$64="","",Suppliers!$N$64)</f>
        <v/>
      </c>
      <c r="N64" s="9" t="n">
        <f aca="false">IF(B64="",-1,N(H64)+N(G64)+N(F64)+N(E64)+ROW()/1000000)</f>
        <v>-1</v>
      </c>
    </row>
    <row r="65" customFormat="false" ht="15" hidden="false" customHeight="false" outlineLevel="0" collapsed="false">
      <c r="A65" s="40" t="str">
        <f aca="false">IF(Suppliers!$B$65="","",59)</f>
        <v/>
      </c>
      <c r="B65" s="65" t="str">
        <f aca="false">IF(Suppliers!$B$65="","",Suppliers!$B$65)</f>
        <v/>
      </c>
      <c r="C65" s="66" t="str">
        <f aca="false">IF(Suppliers!$B$65="","",Suppliers!$K$65)</f>
        <v/>
      </c>
      <c r="D65" s="46" t="str">
        <f aca="false">IF(Suppliers!$B$65="","",SUMIFS(Bills!$K$8:$K$507,Bills!$D$8:$D$507,$B65,Bills!$K$8:$K$507,"&gt;0",Bills!$U$8:$U$507,0))</f>
        <v/>
      </c>
      <c r="E65" s="46" t="str">
        <f aca="false">IF(Suppliers!$B$65="","",SUMIFS(Bills!$K$8:$K$507,Bills!$D$8:$D$507,$B65,Bills!$K$8:$K$507,"&gt;0",Bills!$U$8:$U$507,"&gt;="&amp;1,Bills!$U$8:$U$507,"&lt;="&amp;30))</f>
        <v/>
      </c>
      <c r="F65" s="46" t="str">
        <f aca="false">IF(Suppliers!$B$65="","",SUMIFS(Bills!$K$8:$K$507,Bills!$D$8:$D$507,$B65,Bills!$K$8:$K$507,"&gt;0",Bills!$U$8:$U$507,"&gt;="&amp;31,Bills!$U$8:$U$507,"&lt;="&amp;60))</f>
        <v/>
      </c>
      <c r="G65" s="46" t="str">
        <f aca="false">IF(Suppliers!$B$65="","",SUMIFS(Bills!$K$8:$K$507,Bills!$D$8:$D$507,$B65,Bills!$K$8:$K$507,"&gt;0",Bills!$U$8:$U$507,"&gt;="&amp;61,Bills!$U$8:$U$507,"&lt;="&amp;90))</f>
        <v/>
      </c>
      <c r="H65" s="46" t="str">
        <f aca="false">IF(Suppliers!$B$65="","",SUMIFS(Bills!$K$8:$K$507,Bills!$D$8:$D$507,$B65,Bills!$K$8:$K$507,"&gt;0",Bills!$U$8:$U$507,"&gt;="&amp;91))</f>
        <v/>
      </c>
      <c r="I65" s="67" t="str">
        <f aca="false">IF(Suppliers!$B$65="","",MAX(0,Suppliers!$R$65-SUMIFS(Bills!$P$8:$P$507,Bills!$D$8:$D$507,$B65)))</f>
        <v/>
      </c>
      <c r="J65" s="55" t="str">
        <f aca="false">IF(Suppliers!$B$65="","",IF(COUNTIFS(Bills!$D$8:$D$507,$B65,Bills!$U$8:$U$507,"&gt;0")=0,"",SUMPRODUCT(MAX((Bills!$D$8:$D$507=$B65)*Bills!$U$8:$U$507))))</f>
        <v/>
      </c>
      <c r="K65" s="54" t="str">
        <f aca="false">IF(Suppliers!$B$65="","",IF(COUNTIF(Payments!$C$8:$C$507,$B65)=0,"–",SUMPRODUCT(MAX((Payments!$C$8:$C$507=$B65)*Payments!$B$8:$B$507))))</f>
        <v/>
      </c>
      <c r="L65" s="63" t="str">
        <f aca="false">IF(Suppliers!$B$65="","",Suppliers!$F$65&amp;"")</f>
        <v/>
      </c>
      <c r="M65" s="49" t="str">
        <f aca="false">IF(Suppliers!$B$65="","",Suppliers!$N$65)</f>
        <v/>
      </c>
      <c r="N65" s="9" t="n">
        <f aca="false">IF(B65="",-1,N(H65)+N(G65)+N(F65)+N(E65)+ROW()/1000000)</f>
        <v>-1</v>
      </c>
    </row>
    <row r="66" customFormat="false" ht="15" hidden="false" customHeight="false" outlineLevel="0" collapsed="false">
      <c r="A66" s="40" t="str">
        <f aca="false">IF(Suppliers!$B$66="","",60)</f>
        <v/>
      </c>
      <c r="B66" s="65" t="str">
        <f aca="false">IF(Suppliers!$B$66="","",Suppliers!$B$66)</f>
        <v/>
      </c>
      <c r="C66" s="66" t="str">
        <f aca="false">IF(Suppliers!$B$66="","",Suppliers!$K$66)</f>
        <v/>
      </c>
      <c r="D66" s="46" t="str">
        <f aca="false">IF(Suppliers!$B$66="","",SUMIFS(Bills!$K$8:$K$507,Bills!$D$8:$D$507,$B66,Bills!$K$8:$K$507,"&gt;0",Bills!$U$8:$U$507,0))</f>
        <v/>
      </c>
      <c r="E66" s="46" t="str">
        <f aca="false">IF(Suppliers!$B$66="","",SUMIFS(Bills!$K$8:$K$507,Bills!$D$8:$D$507,$B66,Bills!$K$8:$K$507,"&gt;0",Bills!$U$8:$U$507,"&gt;="&amp;1,Bills!$U$8:$U$507,"&lt;="&amp;30))</f>
        <v/>
      </c>
      <c r="F66" s="46" t="str">
        <f aca="false">IF(Suppliers!$B$66="","",SUMIFS(Bills!$K$8:$K$507,Bills!$D$8:$D$507,$B66,Bills!$K$8:$K$507,"&gt;0",Bills!$U$8:$U$507,"&gt;="&amp;31,Bills!$U$8:$U$507,"&lt;="&amp;60))</f>
        <v/>
      </c>
      <c r="G66" s="46" t="str">
        <f aca="false">IF(Suppliers!$B$66="","",SUMIFS(Bills!$K$8:$K$507,Bills!$D$8:$D$507,$B66,Bills!$K$8:$K$507,"&gt;0",Bills!$U$8:$U$507,"&gt;="&amp;61,Bills!$U$8:$U$507,"&lt;="&amp;90))</f>
        <v/>
      </c>
      <c r="H66" s="46" t="str">
        <f aca="false">IF(Suppliers!$B$66="","",SUMIFS(Bills!$K$8:$K$507,Bills!$D$8:$D$507,$B66,Bills!$K$8:$K$507,"&gt;0",Bills!$U$8:$U$507,"&gt;="&amp;91))</f>
        <v/>
      </c>
      <c r="I66" s="67" t="str">
        <f aca="false">IF(Suppliers!$B$66="","",MAX(0,Suppliers!$R$66-SUMIFS(Bills!$P$8:$P$507,Bills!$D$8:$D$507,$B66)))</f>
        <v/>
      </c>
      <c r="J66" s="55" t="str">
        <f aca="false">IF(Suppliers!$B$66="","",IF(COUNTIFS(Bills!$D$8:$D$507,$B66,Bills!$U$8:$U$507,"&gt;0")=0,"",SUMPRODUCT(MAX((Bills!$D$8:$D$507=$B66)*Bills!$U$8:$U$507))))</f>
        <v/>
      </c>
      <c r="K66" s="54" t="str">
        <f aca="false">IF(Suppliers!$B$66="","",IF(COUNTIF(Payments!$C$8:$C$507,$B66)=0,"–",SUMPRODUCT(MAX((Payments!$C$8:$C$507=$B66)*Payments!$B$8:$B$507))))</f>
        <v/>
      </c>
      <c r="L66" s="63" t="str">
        <f aca="false">IF(Suppliers!$B$66="","",Suppliers!$F$66&amp;"")</f>
        <v/>
      </c>
      <c r="M66" s="49" t="str">
        <f aca="false">IF(Suppliers!$B$66="","",Suppliers!$N$66)</f>
        <v/>
      </c>
      <c r="N66" s="9" t="n">
        <f aca="false">IF(B66="",-1,N(H66)+N(G66)+N(F66)+N(E66)+ROW()/1000000)</f>
        <v>-1</v>
      </c>
    </row>
    <row r="67" customFormat="false" ht="15" hidden="false" customHeight="false" outlineLevel="0" collapsed="false">
      <c r="A67" s="40" t="str">
        <f aca="false">IF(Suppliers!$B$67="","",61)</f>
        <v/>
      </c>
      <c r="B67" s="65" t="str">
        <f aca="false">IF(Suppliers!$B$67="","",Suppliers!$B$67)</f>
        <v/>
      </c>
      <c r="C67" s="66" t="str">
        <f aca="false">IF(Suppliers!$B$67="","",Suppliers!$K$67)</f>
        <v/>
      </c>
      <c r="D67" s="46" t="str">
        <f aca="false">IF(Suppliers!$B$67="","",SUMIFS(Bills!$K$8:$K$507,Bills!$D$8:$D$507,$B67,Bills!$K$8:$K$507,"&gt;0",Bills!$U$8:$U$507,0))</f>
        <v/>
      </c>
      <c r="E67" s="46" t="str">
        <f aca="false">IF(Suppliers!$B$67="","",SUMIFS(Bills!$K$8:$K$507,Bills!$D$8:$D$507,$B67,Bills!$K$8:$K$507,"&gt;0",Bills!$U$8:$U$507,"&gt;="&amp;1,Bills!$U$8:$U$507,"&lt;="&amp;30))</f>
        <v/>
      </c>
      <c r="F67" s="46" t="str">
        <f aca="false">IF(Suppliers!$B$67="","",SUMIFS(Bills!$K$8:$K$507,Bills!$D$8:$D$507,$B67,Bills!$K$8:$K$507,"&gt;0",Bills!$U$8:$U$507,"&gt;="&amp;31,Bills!$U$8:$U$507,"&lt;="&amp;60))</f>
        <v/>
      </c>
      <c r="G67" s="46" t="str">
        <f aca="false">IF(Suppliers!$B$67="","",SUMIFS(Bills!$K$8:$K$507,Bills!$D$8:$D$507,$B67,Bills!$K$8:$K$507,"&gt;0",Bills!$U$8:$U$507,"&gt;="&amp;61,Bills!$U$8:$U$507,"&lt;="&amp;90))</f>
        <v/>
      </c>
      <c r="H67" s="46" t="str">
        <f aca="false">IF(Suppliers!$B$67="","",SUMIFS(Bills!$K$8:$K$507,Bills!$D$8:$D$507,$B67,Bills!$K$8:$K$507,"&gt;0",Bills!$U$8:$U$507,"&gt;="&amp;91))</f>
        <v/>
      </c>
      <c r="I67" s="67" t="str">
        <f aca="false">IF(Suppliers!$B$67="","",MAX(0,Suppliers!$R$67-SUMIFS(Bills!$P$8:$P$507,Bills!$D$8:$D$507,$B67)))</f>
        <v/>
      </c>
      <c r="J67" s="55" t="str">
        <f aca="false">IF(Suppliers!$B$67="","",IF(COUNTIFS(Bills!$D$8:$D$507,$B67,Bills!$U$8:$U$507,"&gt;0")=0,"",SUMPRODUCT(MAX((Bills!$D$8:$D$507=$B67)*Bills!$U$8:$U$507))))</f>
        <v/>
      </c>
      <c r="K67" s="54" t="str">
        <f aca="false">IF(Suppliers!$B$67="","",IF(COUNTIF(Payments!$C$8:$C$507,$B67)=0,"–",SUMPRODUCT(MAX((Payments!$C$8:$C$507=$B67)*Payments!$B$8:$B$507))))</f>
        <v/>
      </c>
      <c r="L67" s="63" t="str">
        <f aca="false">IF(Suppliers!$B$67="","",Suppliers!$F$67&amp;"")</f>
        <v/>
      </c>
      <c r="M67" s="49" t="str">
        <f aca="false">IF(Suppliers!$B$67="","",Suppliers!$N$67)</f>
        <v/>
      </c>
      <c r="N67" s="9" t="n">
        <f aca="false">IF(B67="",-1,N(H67)+N(G67)+N(F67)+N(E67)+ROW()/1000000)</f>
        <v>-1</v>
      </c>
    </row>
    <row r="68" customFormat="false" ht="15" hidden="false" customHeight="false" outlineLevel="0" collapsed="false">
      <c r="A68" s="40" t="str">
        <f aca="false">IF(Suppliers!$B$68="","",62)</f>
        <v/>
      </c>
      <c r="B68" s="65" t="str">
        <f aca="false">IF(Suppliers!$B$68="","",Suppliers!$B$68)</f>
        <v/>
      </c>
      <c r="C68" s="66" t="str">
        <f aca="false">IF(Suppliers!$B$68="","",Suppliers!$K$68)</f>
        <v/>
      </c>
      <c r="D68" s="46" t="str">
        <f aca="false">IF(Suppliers!$B$68="","",SUMIFS(Bills!$K$8:$K$507,Bills!$D$8:$D$507,$B68,Bills!$K$8:$K$507,"&gt;0",Bills!$U$8:$U$507,0))</f>
        <v/>
      </c>
      <c r="E68" s="46" t="str">
        <f aca="false">IF(Suppliers!$B$68="","",SUMIFS(Bills!$K$8:$K$507,Bills!$D$8:$D$507,$B68,Bills!$K$8:$K$507,"&gt;0",Bills!$U$8:$U$507,"&gt;="&amp;1,Bills!$U$8:$U$507,"&lt;="&amp;30))</f>
        <v/>
      </c>
      <c r="F68" s="46" t="str">
        <f aca="false">IF(Suppliers!$B$68="","",SUMIFS(Bills!$K$8:$K$507,Bills!$D$8:$D$507,$B68,Bills!$K$8:$K$507,"&gt;0",Bills!$U$8:$U$507,"&gt;="&amp;31,Bills!$U$8:$U$507,"&lt;="&amp;60))</f>
        <v/>
      </c>
      <c r="G68" s="46" t="str">
        <f aca="false">IF(Suppliers!$B$68="","",SUMIFS(Bills!$K$8:$K$507,Bills!$D$8:$D$507,$B68,Bills!$K$8:$K$507,"&gt;0",Bills!$U$8:$U$507,"&gt;="&amp;61,Bills!$U$8:$U$507,"&lt;="&amp;90))</f>
        <v/>
      </c>
      <c r="H68" s="46" t="str">
        <f aca="false">IF(Suppliers!$B$68="","",SUMIFS(Bills!$K$8:$K$507,Bills!$D$8:$D$507,$B68,Bills!$K$8:$K$507,"&gt;0",Bills!$U$8:$U$507,"&gt;="&amp;91))</f>
        <v/>
      </c>
      <c r="I68" s="67" t="str">
        <f aca="false">IF(Suppliers!$B$68="","",MAX(0,Suppliers!$R$68-SUMIFS(Bills!$P$8:$P$507,Bills!$D$8:$D$507,$B68)))</f>
        <v/>
      </c>
      <c r="J68" s="55" t="str">
        <f aca="false">IF(Suppliers!$B$68="","",IF(COUNTIFS(Bills!$D$8:$D$507,$B68,Bills!$U$8:$U$507,"&gt;0")=0,"",SUMPRODUCT(MAX((Bills!$D$8:$D$507=$B68)*Bills!$U$8:$U$507))))</f>
        <v/>
      </c>
      <c r="K68" s="54" t="str">
        <f aca="false">IF(Suppliers!$B$68="","",IF(COUNTIF(Payments!$C$8:$C$507,$B68)=0,"–",SUMPRODUCT(MAX((Payments!$C$8:$C$507=$B68)*Payments!$B$8:$B$507))))</f>
        <v/>
      </c>
      <c r="L68" s="63" t="str">
        <f aca="false">IF(Suppliers!$B$68="","",Suppliers!$F$68&amp;"")</f>
        <v/>
      </c>
      <c r="M68" s="49" t="str">
        <f aca="false">IF(Suppliers!$B$68="","",Suppliers!$N$68)</f>
        <v/>
      </c>
      <c r="N68" s="9" t="n">
        <f aca="false">IF(B68="",-1,N(H68)+N(G68)+N(F68)+N(E68)+ROW()/1000000)</f>
        <v>-1</v>
      </c>
    </row>
    <row r="69" customFormat="false" ht="15" hidden="false" customHeight="false" outlineLevel="0" collapsed="false">
      <c r="A69" s="40" t="str">
        <f aca="false">IF(Suppliers!$B$69="","",63)</f>
        <v/>
      </c>
      <c r="B69" s="65" t="str">
        <f aca="false">IF(Suppliers!$B$69="","",Suppliers!$B$69)</f>
        <v/>
      </c>
      <c r="C69" s="66" t="str">
        <f aca="false">IF(Suppliers!$B$69="","",Suppliers!$K$69)</f>
        <v/>
      </c>
      <c r="D69" s="46" t="str">
        <f aca="false">IF(Suppliers!$B$69="","",SUMIFS(Bills!$K$8:$K$507,Bills!$D$8:$D$507,$B69,Bills!$K$8:$K$507,"&gt;0",Bills!$U$8:$U$507,0))</f>
        <v/>
      </c>
      <c r="E69" s="46" t="str">
        <f aca="false">IF(Suppliers!$B$69="","",SUMIFS(Bills!$K$8:$K$507,Bills!$D$8:$D$507,$B69,Bills!$K$8:$K$507,"&gt;0",Bills!$U$8:$U$507,"&gt;="&amp;1,Bills!$U$8:$U$507,"&lt;="&amp;30))</f>
        <v/>
      </c>
      <c r="F69" s="46" t="str">
        <f aca="false">IF(Suppliers!$B$69="","",SUMIFS(Bills!$K$8:$K$507,Bills!$D$8:$D$507,$B69,Bills!$K$8:$K$507,"&gt;0",Bills!$U$8:$U$507,"&gt;="&amp;31,Bills!$U$8:$U$507,"&lt;="&amp;60))</f>
        <v/>
      </c>
      <c r="G69" s="46" t="str">
        <f aca="false">IF(Suppliers!$B$69="","",SUMIFS(Bills!$K$8:$K$507,Bills!$D$8:$D$507,$B69,Bills!$K$8:$K$507,"&gt;0",Bills!$U$8:$U$507,"&gt;="&amp;61,Bills!$U$8:$U$507,"&lt;="&amp;90))</f>
        <v/>
      </c>
      <c r="H69" s="46" t="str">
        <f aca="false">IF(Suppliers!$B$69="","",SUMIFS(Bills!$K$8:$K$507,Bills!$D$8:$D$507,$B69,Bills!$K$8:$K$507,"&gt;0",Bills!$U$8:$U$507,"&gt;="&amp;91))</f>
        <v/>
      </c>
      <c r="I69" s="67" t="str">
        <f aca="false">IF(Suppliers!$B$69="","",MAX(0,Suppliers!$R$69-SUMIFS(Bills!$P$8:$P$507,Bills!$D$8:$D$507,$B69)))</f>
        <v/>
      </c>
      <c r="J69" s="55" t="str">
        <f aca="false">IF(Suppliers!$B$69="","",IF(COUNTIFS(Bills!$D$8:$D$507,$B69,Bills!$U$8:$U$507,"&gt;0")=0,"",SUMPRODUCT(MAX((Bills!$D$8:$D$507=$B69)*Bills!$U$8:$U$507))))</f>
        <v/>
      </c>
      <c r="K69" s="54" t="str">
        <f aca="false">IF(Suppliers!$B$69="","",IF(COUNTIF(Payments!$C$8:$C$507,$B69)=0,"–",SUMPRODUCT(MAX((Payments!$C$8:$C$507=$B69)*Payments!$B$8:$B$507))))</f>
        <v/>
      </c>
      <c r="L69" s="63" t="str">
        <f aca="false">IF(Suppliers!$B$69="","",Suppliers!$F$69&amp;"")</f>
        <v/>
      </c>
      <c r="M69" s="49" t="str">
        <f aca="false">IF(Suppliers!$B$69="","",Suppliers!$N$69)</f>
        <v/>
      </c>
      <c r="N69" s="9" t="n">
        <f aca="false">IF(B69="",-1,N(H69)+N(G69)+N(F69)+N(E69)+ROW()/1000000)</f>
        <v>-1</v>
      </c>
    </row>
    <row r="70" customFormat="false" ht="15" hidden="false" customHeight="false" outlineLevel="0" collapsed="false">
      <c r="A70" s="40" t="str">
        <f aca="false">IF(Suppliers!$B$70="","",64)</f>
        <v/>
      </c>
      <c r="B70" s="65" t="str">
        <f aca="false">IF(Suppliers!$B$70="","",Suppliers!$B$70)</f>
        <v/>
      </c>
      <c r="C70" s="66" t="str">
        <f aca="false">IF(Suppliers!$B$70="","",Suppliers!$K$70)</f>
        <v/>
      </c>
      <c r="D70" s="46" t="str">
        <f aca="false">IF(Suppliers!$B$70="","",SUMIFS(Bills!$K$8:$K$507,Bills!$D$8:$D$507,$B70,Bills!$K$8:$K$507,"&gt;0",Bills!$U$8:$U$507,0))</f>
        <v/>
      </c>
      <c r="E70" s="46" t="str">
        <f aca="false">IF(Suppliers!$B$70="","",SUMIFS(Bills!$K$8:$K$507,Bills!$D$8:$D$507,$B70,Bills!$K$8:$K$507,"&gt;0",Bills!$U$8:$U$507,"&gt;="&amp;1,Bills!$U$8:$U$507,"&lt;="&amp;30))</f>
        <v/>
      </c>
      <c r="F70" s="46" t="str">
        <f aca="false">IF(Suppliers!$B$70="","",SUMIFS(Bills!$K$8:$K$507,Bills!$D$8:$D$507,$B70,Bills!$K$8:$K$507,"&gt;0",Bills!$U$8:$U$507,"&gt;="&amp;31,Bills!$U$8:$U$507,"&lt;="&amp;60))</f>
        <v/>
      </c>
      <c r="G70" s="46" t="str">
        <f aca="false">IF(Suppliers!$B$70="","",SUMIFS(Bills!$K$8:$K$507,Bills!$D$8:$D$507,$B70,Bills!$K$8:$K$507,"&gt;0",Bills!$U$8:$U$507,"&gt;="&amp;61,Bills!$U$8:$U$507,"&lt;="&amp;90))</f>
        <v/>
      </c>
      <c r="H70" s="46" t="str">
        <f aca="false">IF(Suppliers!$B$70="","",SUMIFS(Bills!$K$8:$K$507,Bills!$D$8:$D$507,$B70,Bills!$K$8:$K$507,"&gt;0",Bills!$U$8:$U$507,"&gt;="&amp;91))</f>
        <v/>
      </c>
      <c r="I70" s="67" t="str">
        <f aca="false">IF(Suppliers!$B$70="","",MAX(0,Suppliers!$R$70-SUMIFS(Bills!$P$8:$P$507,Bills!$D$8:$D$507,$B70)))</f>
        <v/>
      </c>
      <c r="J70" s="55" t="str">
        <f aca="false">IF(Suppliers!$B$70="","",IF(COUNTIFS(Bills!$D$8:$D$507,$B70,Bills!$U$8:$U$507,"&gt;0")=0,"",SUMPRODUCT(MAX((Bills!$D$8:$D$507=$B70)*Bills!$U$8:$U$507))))</f>
        <v/>
      </c>
      <c r="K70" s="54" t="str">
        <f aca="false">IF(Suppliers!$B$70="","",IF(COUNTIF(Payments!$C$8:$C$507,$B70)=0,"–",SUMPRODUCT(MAX((Payments!$C$8:$C$507=$B70)*Payments!$B$8:$B$507))))</f>
        <v/>
      </c>
      <c r="L70" s="63" t="str">
        <f aca="false">IF(Suppliers!$B$70="","",Suppliers!$F$70&amp;"")</f>
        <v/>
      </c>
      <c r="M70" s="49" t="str">
        <f aca="false">IF(Suppliers!$B$70="","",Suppliers!$N$70)</f>
        <v/>
      </c>
      <c r="N70" s="9" t="n">
        <f aca="false">IF(B70="",-1,N(H70)+N(G70)+N(F70)+N(E70)+ROW()/1000000)</f>
        <v>-1</v>
      </c>
    </row>
    <row r="71" customFormat="false" ht="15" hidden="false" customHeight="false" outlineLevel="0" collapsed="false">
      <c r="A71" s="40" t="str">
        <f aca="false">IF(Suppliers!$B$71="","",65)</f>
        <v/>
      </c>
      <c r="B71" s="65" t="str">
        <f aca="false">IF(Suppliers!$B$71="","",Suppliers!$B$71)</f>
        <v/>
      </c>
      <c r="C71" s="66" t="str">
        <f aca="false">IF(Suppliers!$B$71="","",Suppliers!$K$71)</f>
        <v/>
      </c>
      <c r="D71" s="46" t="str">
        <f aca="false">IF(Suppliers!$B$71="","",SUMIFS(Bills!$K$8:$K$507,Bills!$D$8:$D$507,$B71,Bills!$K$8:$K$507,"&gt;0",Bills!$U$8:$U$507,0))</f>
        <v/>
      </c>
      <c r="E71" s="46" t="str">
        <f aca="false">IF(Suppliers!$B$71="","",SUMIFS(Bills!$K$8:$K$507,Bills!$D$8:$D$507,$B71,Bills!$K$8:$K$507,"&gt;0",Bills!$U$8:$U$507,"&gt;="&amp;1,Bills!$U$8:$U$507,"&lt;="&amp;30))</f>
        <v/>
      </c>
      <c r="F71" s="46" t="str">
        <f aca="false">IF(Suppliers!$B$71="","",SUMIFS(Bills!$K$8:$K$507,Bills!$D$8:$D$507,$B71,Bills!$K$8:$K$507,"&gt;0",Bills!$U$8:$U$507,"&gt;="&amp;31,Bills!$U$8:$U$507,"&lt;="&amp;60))</f>
        <v/>
      </c>
      <c r="G71" s="46" t="str">
        <f aca="false">IF(Suppliers!$B$71="","",SUMIFS(Bills!$K$8:$K$507,Bills!$D$8:$D$507,$B71,Bills!$K$8:$K$507,"&gt;0",Bills!$U$8:$U$507,"&gt;="&amp;61,Bills!$U$8:$U$507,"&lt;="&amp;90))</f>
        <v/>
      </c>
      <c r="H71" s="46" t="str">
        <f aca="false">IF(Suppliers!$B$71="","",SUMIFS(Bills!$K$8:$K$507,Bills!$D$8:$D$507,$B71,Bills!$K$8:$K$507,"&gt;0",Bills!$U$8:$U$507,"&gt;="&amp;91))</f>
        <v/>
      </c>
      <c r="I71" s="67" t="str">
        <f aca="false">IF(Suppliers!$B$71="","",MAX(0,Suppliers!$R$71-SUMIFS(Bills!$P$8:$P$507,Bills!$D$8:$D$507,$B71)))</f>
        <v/>
      </c>
      <c r="J71" s="55" t="str">
        <f aca="false">IF(Suppliers!$B$71="","",IF(COUNTIFS(Bills!$D$8:$D$507,$B71,Bills!$U$8:$U$507,"&gt;0")=0,"",SUMPRODUCT(MAX((Bills!$D$8:$D$507=$B71)*Bills!$U$8:$U$507))))</f>
        <v/>
      </c>
      <c r="K71" s="54" t="str">
        <f aca="false">IF(Suppliers!$B$71="","",IF(COUNTIF(Payments!$C$8:$C$507,$B71)=0,"–",SUMPRODUCT(MAX((Payments!$C$8:$C$507=$B71)*Payments!$B$8:$B$507))))</f>
        <v/>
      </c>
      <c r="L71" s="63" t="str">
        <f aca="false">IF(Suppliers!$B$71="","",Suppliers!$F$71&amp;"")</f>
        <v/>
      </c>
      <c r="M71" s="49" t="str">
        <f aca="false">IF(Suppliers!$B$71="","",Suppliers!$N$71)</f>
        <v/>
      </c>
      <c r="N71" s="9" t="n">
        <f aca="false">IF(B71="",-1,N(H71)+N(G71)+N(F71)+N(E71)+ROW()/1000000)</f>
        <v>-1</v>
      </c>
    </row>
    <row r="72" customFormat="false" ht="15" hidden="false" customHeight="false" outlineLevel="0" collapsed="false">
      <c r="A72" s="40" t="str">
        <f aca="false">IF(Suppliers!$B$72="","",66)</f>
        <v/>
      </c>
      <c r="B72" s="65" t="str">
        <f aca="false">IF(Suppliers!$B$72="","",Suppliers!$B$72)</f>
        <v/>
      </c>
      <c r="C72" s="66" t="str">
        <f aca="false">IF(Suppliers!$B$72="","",Suppliers!$K$72)</f>
        <v/>
      </c>
      <c r="D72" s="46" t="str">
        <f aca="false">IF(Suppliers!$B$72="","",SUMIFS(Bills!$K$8:$K$507,Bills!$D$8:$D$507,$B72,Bills!$K$8:$K$507,"&gt;0",Bills!$U$8:$U$507,0))</f>
        <v/>
      </c>
      <c r="E72" s="46" t="str">
        <f aca="false">IF(Suppliers!$B$72="","",SUMIFS(Bills!$K$8:$K$507,Bills!$D$8:$D$507,$B72,Bills!$K$8:$K$507,"&gt;0",Bills!$U$8:$U$507,"&gt;="&amp;1,Bills!$U$8:$U$507,"&lt;="&amp;30))</f>
        <v/>
      </c>
      <c r="F72" s="46" t="str">
        <f aca="false">IF(Suppliers!$B$72="","",SUMIFS(Bills!$K$8:$K$507,Bills!$D$8:$D$507,$B72,Bills!$K$8:$K$507,"&gt;0",Bills!$U$8:$U$507,"&gt;="&amp;31,Bills!$U$8:$U$507,"&lt;="&amp;60))</f>
        <v/>
      </c>
      <c r="G72" s="46" t="str">
        <f aca="false">IF(Suppliers!$B$72="","",SUMIFS(Bills!$K$8:$K$507,Bills!$D$8:$D$507,$B72,Bills!$K$8:$K$507,"&gt;0",Bills!$U$8:$U$507,"&gt;="&amp;61,Bills!$U$8:$U$507,"&lt;="&amp;90))</f>
        <v/>
      </c>
      <c r="H72" s="46" t="str">
        <f aca="false">IF(Suppliers!$B$72="","",SUMIFS(Bills!$K$8:$K$507,Bills!$D$8:$D$507,$B72,Bills!$K$8:$K$507,"&gt;0",Bills!$U$8:$U$507,"&gt;="&amp;91))</f>
        <v/>
      </c>
      <c r="I72" s="67" t="str">
        <f aca="false">IF(Suppliers!$B$72="","",MAX(0,Suppliers!$R$72-SUMIFS(Bills!$P$8:$P$507,Bills!$D$8:$D$507,$B72)))</f>
        <v/>
      </c>
      <c r="J72" s="55" t="str">
        <f aca="false">IF(Suppliers!$B$72="","",IF(COUNTIFS(Bills!$D$8:$D$507,$B72,Bills!$U$8:$U$507,"&gt;0")=0,"",SUMPRODUCT(MAX((Bills!$D$8:$D$507=$B72)*Bills!$U$8:$U$507))))</f>
        <v/>
      </c>
      <c r="K72" s="54" t="str">
        <f aca="false">IF(Suppliers!$B$72="","",IF(COUNTIF(Payments!$C$8:$C$507,$B72)=0,"–",SUMPRODUCT(MAX((Payments!$C$8:$C$507=$B72)*Payments!$B$8:$B$507))))</f>
        <v/>
      </c>
      <c r="L72" s="63" t="str">
        <f aca="false">IF(Suppliers!$B$72="","",Suppliers!$F$72&amp;"")</f>
        <v/>
      </c>
      <c r="M72" s="49" t="str">
        <f aca="false">IF(Suppliers!$B$72="","",Suppliers!$N$72)</f>
        <v/>
      </c>
      <c r="N72" s="9" t="n">
        <f aca="false">IF(B72="",-1,N(H72)+N(G72)+N(F72)+N(E72)+ROW()/1000000)</f>
        <v>-1</v>
      </c>
    </row>
    <row r="73" customFormat="false" ht="15" hidden="false" customHeight="false" outlineLevel="0" collapsed="false">
      <c r="A73" s="40" t="str">
        <f aca="false">IF(Suppliers!$B$73="","",67)</f>
        <v/>
      </c>
      <c r="B73" s="65" t="str">
        <f aca="false">IF(Suppliers!$B$73="","",Suppliers!$B$73)</f>
        <v/>
      </c>
      <c r="C73" s="66" t="str">
        <f aca="false">IF(Suppliers!$B$73="","",Suppliers!$K$73)</f>
        <v/>
      </c>
      <c r="D73" s="46" t="str">
        <f aca="false">IF(Suppliers!$B$73="","",SUMIFS(Bills!$K$8:$K$507,Bills!$D$8:$D$507,$B73,Bills!$K$8:$K$507,"&gt;0",Bills!$U$8:$U$507,0))</f>
        <v/>
      </c>
      <c r="E73" s="46" t="str">
        <f aca="false">IF(Suppliers!$B$73="","",SUMIFS(Bills!$K$8:$K$507,Bills!$D$8:$D$507,$B73,Bills!$K$8:$K$507,"&gt;0",Bills!$U$8:$U$507,"&gt;="&amp;1,Bills!$U$8:$U$507,"&lt;="&amp;30))</f>
        <v/>
      </c>
      <c r="F73" s="46" t="str">
        <f aca="false">IF(Suppliers!$B$73="","",SUMIFS(Bills!$K$8:$K$507,Bills!$D$8:$D$507,$B73,Bills!$K$8:$K$507,"&gt;0",Bills!$U$8:$U$507,"&gt;="&amp;31,Bills!$U$8:$U$507,"&lt;="&amp;60))</f>
        <v/>
      </c>
      <c r="G73" s="46" t="str">
        <f aca="false">IF(Suppliers!$B$73="","",SUMIFS(Bills!$K$8:$K$507,Bills!$D$8:$D$507,$B73,Bills!$K$8:$K$507,"&gt;0",Bills!$U$8:$U$507,"&gt;="&amp;61,Bills!$U$8:$U$507,"&lt;="&amp;90))</f>
        <v/>
      </c>
      <c r="H73" s="46" t="str">
        <f aca="false">IF(Suppliers!$B$73="","",SUMIFS(Bills!$K$8:$K$507,Bills!$D$8:$D$507,$B73,Bills!$K$8:$K$507,"&gt;0",Bills!$U$8:$U$507,"&gt;="&amp;91))</f>
        <v/>
      </c>
      <c r="I73" s="67" t="str">
        <f aca="false">IF(Suppliers!$B$73="","",MAX(0,Suppliers!$R$73-SUMIFS(Bills!$P$8:$P$507,Bills!$D$8:$D$507,$B73)))</f>
        <v/>
      </c>
      <c r="J73" s="55" t="str">
        <f aca="false">IF(Suppliers!$B$73="","",IF(COUNTIFS(Bills!$D$8:$D$507,$B73,Bills!$U$8:$U$507,"&gt;0")=0,"",SUMPRODUCT(MAX((Bills!$D$8:$D$507=$B73)*Bills!$U$8:$U$507))))</f>
        <v/>
      </c>
      <c r="K73" s="54" t="str">
        <f aca="false">IF(Suppliers!$B$73="","",IF(COUNTIF(Payments!$C$8:$C$507,$B73)=0,"–",SUMPRODUCT(MAX((Payments!$C$8:$C$507=$B73)*Payments!$B$8:$B$507))))</f>
        <v/>
      </c>
      <c r="L73" s="63" t="str">
        <f aca="false">IF(Suppliers!$B$73="","",Suppliers!$F$73&amp;"")</f>
        <v/>
      </c>
      <c r="M73" s="49" t="str">
        <f aca="false">IF(Suppliers!$B$73="","",Suppliers!$N$73)</f>
        <v/>
      </c>
      <c r="N73" s="9" t="n">
        <f aca="false">IF(B73="",-1,N(H73)+N(G73)+N(F73)+N(E73)+ROW()/1000000)</f>
        <v>-1</v>
      </c>
    </row>
    <row r="74" customFormat="false" ht="15" hidden="false" customHeight="false" outlineLevel="0" collapsed="false">
      <c r="A74" s="40" t="str">
        <f aca="false">IF(Suppliers!$B$74="","",68)</f>
        <v/>
      </c>
      <c r="B74" s="65" t="str">
        <f aca="false">IF(Suppliers!$B$74="","",Suppliers!$B$74)</f>
        <v/>
      </c>
      <c r="C74" s="66" t="str">
        <f aca="false">IF(Suppliers!$B$74="","",Suppliers!$K$74)</f>
        <v/>
      </c>
      <c r="D74" s="46" t="str">
        <f aca="false">IF(Suppliers!$B$74="","",SUMIFS(Bills!$K$8:$K$507,Bills!$D$8:$D$507,$B74,Bills!$K$8:$K$507,"&gt;0",Bills!$U$8:$U$507,0))</f>
        <v/>
      </c>
      <c r="E74" s="46" t="str">
        <f aca="false">IF(Suppliers!$B$74="","",SUMIFS(Bills!$K$8:$K$507,Bills!$D$8:$D$507,$B74,Bills!$K$8:$K$507,"&gt;0",Bills!$U$8:$U$507,"&gt;="&amp;1,Bills!$U$8:$U$507,"&lt;="&amp;30))</f>
        <v/>
      </c>
      <c r="F74" s="46" t="str">
        <f aca="false">IF(Suppliers!$B$74="","",SUMIFS(Bills!$K$8:$K$507,Bills!$D$8:$D$507,$B74,Bills!$K$8:$K$507,"&gt;0",Bills!$U$8:$U$507,"&gt;="&amp;31,Bills!$U$8:$U$507,"&lt;="&amp;60))</f>
        <v/>
      </c>
      <c r="G74" s="46" t="str">
        <f aca="false">IF(Suppliers!$B$74="","",SUMIFS(Bills!$K$8:$K$507,Bills!$D$8:$D$507,$B74,Bills!$K$8:$K$507,"&gt;0",Bills!$U$8:$U$507,"&gt;="&amp;61,Bills!$U$8:$U$507,"&lt;="&amp;90))</f>
        <v/>
      </c>
      <c r="H74" s="46" t="str">
        <f aca="false">IF(Suppliers!$B$74="","",SUMIFS(Bills!$K$8:$K$507,Bills!$D$8:$D$507,$B74,Bills!$K$8:$K$507,"&gt;0",Bills!$U$8:$U$507,"&gt;="&amp;91))</f>
        <v/>
      </c>
      <c r="I74" s="67" t="str">
        <f aca="false">IF(Suppliers!$B$74="","",MAX(0,Suppliers!$R$74-SUMIFS(Bills!$P$8:$P$507,Bills!$D$8:$D$507,$B74)))</f>
        <v/>
      </c>
      <c r="J74" s="55" t="str">
        <f aca="false">IF(Suppliers!$B$74="","",IF(COUNTIFS(Bills!$D$8:$D$507,$B74,Bills!$U$8:$U$507,"&gt;0")=0,"",SUMPRODUCT(MAX((Bills!$D$8:$D$507=$B74)*Bills!$U$8:$U$507))))</f>
        <v/>
      </c>
      <c r="K74" s="54" t="str">
        <f aca="false">IF(Suppliers!$B$74="","",IF(COUNTIF(Payments!$C$8:$C$507,$B74)=0,"–",SUMPRODUCT(MAX((Payments!$C$8:$C$507=$B74)*Payments!$B$8:$B$507))))</f>
        <v/>
      </c>
      <c r="L74" s="63" t="str">
        <f aca="false">IF(Suppliers!$B$74="","",Suppliers!$F$74&amp;"")</f>
        <v/>
      </c>
      <c r="M74" s="49" t="str">
        <f aca="false">IF(Suppliers!$B$74="","",Suppliers!$N$74)</f>
        <v/>
      </c>
      <c r="N74" s="9" t="n">
        <f aca="false">IF(B74="",-1,N(H74)+N(G74)+N(F74)+N(E74)+ROW()/1000000)</f>
        <v>-1</v>
      </c>
    </row>
    <row r="75" customFormat="false" ht="15" hidden="false" customHeight="false" outlineLevel="0" collapsed="false">
      <c r="A75" s="40" t="str">
        <f aca="false">IF(Suppliers!$B$75="","",69)</f>
        <v/>
      </c>
      <c r="B75" s="65" t="str">
        <f aca="false">IF(Suppliers!$B$75="","",Suppliers!$B$75)</f>
        <v/>
      </c>
      <c r="C75" s="66" t="str">
        <f aca="false">IF(Suppliers!$B$75="","",Suppliers!$K$75)</f>
        <v/>
      </c>
      <c r="D75" s="46" t="str">
        <f aca="false">IF(Suppliers!$B$75="","",SUMIFS(Bills!$K$8:$K$507,Bills!$D$8:$D$507,$B75,Bills!$K$8:$K$507,"&gt;0",Bills!$U$8:$U$507,0))</f>
        <v/>
      </c>
      <c r="E75" s="46" t="str">
        <f aca="false">IF(Suppliers!$B$75="","",SUMIFS(Bills!$K$8:$K$507,Bills!$D$8:$D$507,$B75,Bills!$K$8:$K$507,"&gt;0",Bills!$U$8:$U$507,"&gt;="&amp;1,Bills!$U$8:$U$507,"&lt;="&amp;30))</f>
        <v/>
      </c>
      <c r="F75" s="46" t="str">
        <f aca="false">IF(Suppliers!$B$75="","",SUMIFS(Bills!$K$8:$K$507,Bills!$D$8:$D$507,$B75,Bills!$K$8:$K$507,"&gt;0",Bills!$U$8:$U$507,"&gt;="&amp;31,Bills!$U$8:$U$507,"&lt;="&amp;60))</f>
        <v/>
      </c>
      <c r="G75" s="46" t="str">
        <f aca="false">IF(Suppliers!$B$75="","",SUMIFS(Bills!$K$8:$K$507,Bills!$D$8:$D$507,$B75,Bills!$K$8:$K$507,"&gt;0",Bills!$U$8:$U$507,"&gt;="&amp;61,Bills!$U$8:$U$507,"&lt;="&amp;90))</f>
        <v/>
      </c>
      <c r="H75" s="46" t="str">
        <f aca="false">IF(Suppliers!$B$75="","",SUMIFS(Bills!$K$8:$K$507,Bills!$D$8:$D$507,$B75,Bills!$K$8:$K$507,"&gt;0",Bills!$U$8:$U$507,"&gt;="&amp;91))</f>
        <v/>
      </c>
      <c r="I75" s="67" t="str">
        <f aca="false">IF(Suppliers!$B$75="","",MAX(0,Suppliers!$R$75-SUMIFS(Bills!$P$8:$P$507,Bills!$D$8:$D$507,$B75)))</f>
        <v/>
      </c>
      <c r="J75" s="55" t="str">
        <f aca="false">IF(Suppliers!$B$75="","",IF(COUNTIFS(Bills!$D$8:$D$507,$B75,Bills!$U$8:$U$507,"&gt;0")=0,"",SUMPRODUCT(MAX((Bills!$D$8:$D$507=$B75)*Bills!$U$8:$U$507))))</f>
        <v/>
      </c>
      <c r="K75" s="54" t="str">
        <f aca="false">IF(Suppliers!$B$75="","",IF(COUNTIF(Payments!$C$8:$C$507,$B75)=0,"–",SUMPRODUCT(MAX((Payments!$C$8:$C$507=$B75)*Payments!$B$8:$B$507))))</f>
        <v/>
      </c>
      <c r="L75" s="63" t="str">
        <f aca="false">IF(Suppliers!$B$75="","",Suppliers!$F$75&amp;"")</f>
        <v/>
      </c>
      <c r="M75" s="49" t="str">
        <f aca="false">IF(Suppliers!$B$75="","",Suppliers!$N$75)</f>
        <v/>
      </c>
      <c r="N75" s="9" t="n">
        <f aca="false">IF(B75="",-1,N(H75)+N(G75)+N(F75)+N(E75)+ROW()/1000000)</f>
        <v>-1</v>
      </c>
    </row>
    <row r="76" customFormat="false" ht="15" hidden="false" customHeight="false" outlineLevel="0" collapsed="false">
      <c r="A76" s="40" t="str">
        <f aca="false">IF(Suppliers!$B$76="","",70)</f>
        <v/>
      </c>
      <c r="B76" s="65" t="str">
        <f aca="false">IF(Suppliers!$B$76="","",Suppliers!$B$76)</f>
        <v/>
      </c>
      <c r="C76" s="66" t="str">
        <f aca="false">IF(Suppliers!$B$76="","",Suppliers!$K$76)</f>
        <v/>
      </c>
      <c r="D76" s="46" t="str">
        <f aca="false">IF(Suppliers!$B$76="","",SUMIFS(Bills!$K$8:$K$507,Bills!$D$8:$D$507,$B76,Bills!$K$8:$K$507,"&gt;0",Bills!$U$8:$U$507,0))</f>
        <v/>
      </c>
      <c r="E76" s="46" t="str">
        <f aca="false">IF(Suppliers!$B$76="","",SUMIFS(Bills!$K$8:$K$507,Bills!$D$8:$D$507,$B76,Bills!$K$8:$K$507,"&gt;0",Bills!$U$8:$U$507,"&gt;="&amp;1,Bills!$U$8:$U$507,"&lt;="&amp;30))</f>
        <v/>
      </c>
      <c r="F76" s="46" t="str">
        <f aca="false">IF(Suppliers!$B$76="","",SUMIFS(Bills!$K$8:$K$507,Bills!$D$8:$D$507,$B76,Bills!$K$8:$K$507,"&gt;0",Bills!$U$8:$U$507,"&gt;="&amp;31,Bills!$U$8:$U$507,"&lt;="&amp;60))</f>
        <v/>
      </c>
      <c r="G76" s="46" t="str">
        <f aca="false">IF(Suppliers!$B$76="","",SUMIFS(Bills!$K$8:$K$507,Bills!$D$8:$D$507,$B76,Bills!$K$8:$K$507,"&gt;0",Bills!$U$8:$U$507,"&gt;="&amp;61,Bills!$U$8:$U$507,"&lt;="&amp;90))</f>
        <v/>
      </c>
      <c r="H76" s="46" t="str">
        <f aca="false">IF(Suppliers!$B$76="","",SUMIFS(Bills!$K$8:$K$507,Bills!$D$8:$D$507,$B76,Bills!$K$8:$K$507,"&gt;0",Bills!$U$8:$U$507,"&gt;="&amp;91))</f>
        <v/>
      </c>
      <c r="I76" s="67" t="str">
        <f aca="false">IF(Suppliers!$B$76="","",MAX(0,Suppliers!$R$76-SUMIFS(Bills!$P$8:$P$507,Bills!$D$8:$D$507,$B76)))</f>
        <v/>
      </c>
      <c r="J76" s="55" t="str">
        <f aca="false">IF(Suppliers!$B$76="","",IF(COUNTIFS(Bills!$D$8:$D$507,$B76,Bills!$U$8:$U$507,"&gt;0")=0,"",SUMPRODUCT(MAX((Bills!$D$8:$D$507=$B76)*Bills!$U$8:$U$507))))</f>
        <v/>
      </c>
      <c r="K76" s="54" t="str">
        <f aca="false">IF(Suppliers!$B$76="","",IF(COUNTIF(Payments!$C$8:$C$507,$B76)=0,"–",SUMPRODUCT(MAX((Payments!$C$8:$C$507=$B76)*Payments!$B$8:$B$507))))</f>
        <v/>
      </c>
      <c r="L76" s="63" t="str">
        <f aca="false">IF(Suppliers!$B$76="","",Suppliers!$F$76&amp;"")</f>
        <v/>
      </c>
      <c r="M76" s="49" t="str">
        <f aca="false">IF(Suppliers!$B$76="","",Suppliers!$N$76)</f>
        <v/>
      </c>
      <c r="N76" s="9" t="n">
        <f aca="false">IF(B76="",-1,N(H76)+N(G76)+N(F76)+N(E76)+ROW()/1000000)</f>
        <v>-1</v>
      </c>
    </row>
    <row r="77" customFormat="false" ht="15" hidden="false" customHeight="false" outlineLevel="0" collapsed="false">
      <c r="A77" s="40" t="str">
        <f aca="false">IF(Suppliers!$B$77="","",71)</f>
        <v/>
      </c>
      <c r="B77" s="65" t="str">
        <f aca="false">IF(Suppliers!$B$77="","",Suppliers!$B$77)</f>
        <v/>
      </c>
      <c r="C77" s="66" t="str">
        <f aca="false">IF(Suppliers!$B$77="","",Suppliers!$K$77)</f>
        <v/>
      </c>
      <c r="D77" s="46" t="str">
        <f aca="false">IF(Suppliers!$B$77="","",SUMIFS(Bills!$K$8:$K$507,Bills!$D$8:$D$507,$B77,Bills!$K$8:$K$507,"&gt;0",Bills!$U$8:$U$507,0))</f>
        <v/>
      </c>
      <c r="E77" s="46" t="str">
        <f aca="false">IF(Suppliers!$B$77="","",SUMIFS(Bills!$K$8:$K$507,Bills!$D$8:$D$507,$B77,Bills!$K$8:$K$507,"&gt;0",Bills!$U$8:$U$507,"&gt;="&amp;1,Bills!$U$8:$U$507,"&lt;="&amp;30))</f>
        <v/>
      </c>
      <c r="F77" s="46" t="str">
        <f aca="false">IF(Suppliers!$B$77="","",SUMIFS(Bills!$K$8:$K$507,Bills!$D$8:$D$507,$B77,Bills!$K$8:$K$507,"&gt;0",Bills!$U$8:$U$507,"&gt;="&amp;31,Bills!$U$8:$U$507,"&lt;="&amp;60))</f>
        <v/>
      </c>
      <c r="G77" s="46" t="str">
        <f aca="false">IF(Suppliers!$B$77="","",SUMIFS(Bills!$K$8:$K$507,Bills!$D$8:$D$507,$B77,Bills!$K$8:$K$507,"&gt;0",Bills!$U$8:$U$507,"&gt;="&amp;61,Bills!$U$8:$U$507,"&lt;="&amp;90))</f>
        <v/>
      </c>
      <c r="H77" s="46" t="str">
        <f aca="false">IF(Suppliers!$B$77="","",SUMIFS(Bills!$K$8:$K$507,Bills!$D$8:$D$507,$B77,Bills!$K$8:$K$507,"&gt;0",Bills!$U$8:$U$507,"&gt;="&amp;91))</f>
        <v/>
      </c>
      <c r="I77" s="67" t="str">
        <f aca="false">IF(Suppliers!$B$77="","",MAX(0,Suppliers!$R$77-SUMIFS(Bills!$P$8:$P$507,Bills!$D$8:$D$507,$B77)))</f>
        <v/>
      </c>
      <c r="J77" s="55" t="str">
        <f aca="false">IF(Suppliers!$B$77="","",IF(COUNTIFS(Bills!$D$8:$D$507,$B77,Bills!$U$8:$U$507,"&gt;0")=0,"",SUMPRODUCT(MAX((Bills!$D$8:$D$507=$B77)*Bills!$U$8:$U$507))))</f>
        <v/>
      </c>
      <c r="K77" s="54" t="str">
        <f aca="false">IF(Suppliers!$B$77="","",IF(COUNTIF(Payments!$C$8:$C$507,$B77)=0,"–",SUMPRODUCT(MAX((Payments!$C$8:$C$507=$B77)*Payments!$B$8:$B$507))))</f>
        <v/>
      </c>
      <c r="L77" s="63" t="str">
        <f aca="false">IF(Suppliers!$B$77="","",Suppliers!$F$77&amp;"")</f>
        <v/>
      </c>
      <c r="M77" s="49" t="str">
        <f aca="false">IF(Suppliers!$B$77="","",Suppliers!$N$77)</f>
        <v/>
      </c>
      <c r="N77" s="9" t="n">
        <f aca="false">IF(B77="",-1,N(H77)+N(G77)+N(F77)+N(E77)+ROW()/1000000)</f>
        <v>-1</v>
      </c>
    </row>
    <row r="78" customFormat="false" ht="15" hidden="false" customHeight="false" outlineLevel="0" collapsed="false">
      <c r="A78" s="40" t="str">
        <f aca="false">IF(Suppliers!$B$78="","",72)</f>
        <v/>
      </c>
      <c r="B78" s="65" t="str">
        <f aca="false">IF(Suppliers!$B$78="","",Suppliers!$B$78)</f>
        <v/>
      </c>
      <c r="C78" s="66" t="str">
        <f aca="false">IF(Suppliers!$B$78="","",Suppliers!$K$78)</f>
        <v/>
      </c>
      <c r="D78" s="46" t="str">
        <f aca="false">IF(Suppliers!$B$78="","",SUMIFS(Bills!$K$8:$K$507,Bills!$D$8:$D$507,$B78,Bills!$K$8:$K$507,"&gt;0",Bills!$U$8:$U$507,0))</f>
        <v/>
      </c>
      <c r="E78" s="46" t="str">
        <f aca="false">IF(Suppliers!$B$78="","",SUMIFS(Bills!$K$8:$K$507,Bills!$D$8:$D$507,$B78,Bills!$K$8:$K$507,"&gt;0",Bills!$U$8:$U$507,"&gt;="&amp;1,Bills!$U$8:$U$507,"&lt;="&amp;30))</f>
        <v/>
      </c>
      <c r="F78" s="46" t="str">
        <f aca="false">IF(Suppliers!$B$78="","",SUMIFS(Bills!$K$8:$K$507,Bills!$D$8:$D$507,$B78,Bills!$K$8:$K$507,"&gt;0",Bills!$U$8:$U$507,"&gt;="&amp;31,Bills!$U$8:$U$507,"&lt;="&amp;60))</f>
        <v/>
      </c>
      <c r="G78" s="46" t="str">
        <f aca="false">IF(Suppliers!$B$78="","",SUMIFS(Bills!$K$8:$K$507,Bills!$D$8:$D$507,$B78,Bills!$K$8:$K$507,"&gt;0",Bills!$U$8:$U$507,"&gt;="&amp;61,Bills!$U$8:$U$507,"&lt;="&amp;90))</f>
        <v/>
      </c>
      <c r="H78" s="46" t="str">
        <f aca="false">IF(Suppliers!$B$78="","",SUMIFS(Bills!$K$8:$K$507,Bills!$D$8:$D$507,$B78,Bills!$K$8:$K$507,"&gt;0",Bills!$U$8:$U$507,"&gt;="&amp;91))</f>
        <v/>
      </c>
      <c r="I78" s="67" t="str">
        <f aca="false">IF(Suppliers!$B$78="","",MAX(0,Suppliers!$R$78-SUMIFS(Bills!$P$8:$P$507,Bills!$D$8:$D$507,$B78)))</f>
        <v/>
      </c>
      <c r="J78" s="55" t="str">
        <f aca="false">IF(Suppliers!$B$78="","",IF(COUNTIFS(Bills!$D$8:$D$507,$B78,Bills!$U$8:$U$507,"&gt;0")=0,"",SUMPRODUCT(MAX((Bills!$D$8:$D$507=$B78)*Bills!$U$8:$U$507))))</f>
        <v/>
      </c>
      <c r="K78" s="54" t="str">
        <f aca="false">IF(Suppliers!$B$78="","",IF(COUNTIF(Payments!$C$8:$C$507,$B78)=0,"–",SUMPRODUCT(MAX((Payments!$C$8:$C$507=$B78)*Payments!$B$8:$B$507))))</f>
        <v/>
      </c>
      <c r="L78" s="63" t="str">
        <f aca="false">IF(Suppliers!$B$78="","",Suppliers!$F$78&amp;"")</f>
        <v/>
      </c>
      <c r="M78" s="49" t="str">
        <f aca="false">IF(Suppliers!$B$78="","",Suppliers!$N$78)</f>
        <v/>
      </c>
      <c r="N78" s="9" t="n">
        <f aca="false">IF(B78="",-1,N(H78)+N(G78)+N(F78)+N(E78)+ROW()/1000000)</f>
        <v>-1</v>
      </c>
    </row>
    <row r="79" customFormat="false" ht="15" hidden="false" customHeight="false" outlineLevel="0" collapsed="false">
      <c r="A79" s="40" t="str">
        <f aca="false">IF(Suppliers!$B$79="","",73)</f>
        <v/>
      </c>
      <c r="B79" s="65" t="str">
        <f aca="false">IF(Suppliers!$B$79="","",Suppliers!$B$79)</f>
        <v/>
      </c>
      <c r="C79" s="66" t="str">
        <f aca="false">IF(Suppliers!$B$79="","",Suppliers!$K$79)</f>
        <v/>
      </c>
      <c r="D79" s="46" t="str">
        <f aca="false">IF(Suppliers!$B$79="","",SUMIFS(Bills!$K$8:$K$507,Bills!$D$8:$D$507,$B79,Bills!$K$8:$K$507,"&gt;0",Bills!$U$8:$U$507,0))</f>
        <v/>
      </c>
      <c r="E79" s="46" t="str">
        <f aca="false">IF(Suppliers!$B$79="","",SUMIFS(Bills!$K$8:$K$507,Bills!$D$8:$D$507,$B79,Bills!$K$8:$K$507,"&gt;0",Bills!$U$8:$U$507,"&gt;="&amp;1,Bills!$U$8:$U$507,"&lt;="&amp;30))</f>
        <v/>
      </c>
      <c r="F79" s="46" t="str">
        <f aca="false">IF(Suppliers!$B$79="","",SUMIFS(Bills!$K$8:$K$507,Bills!$D$8:$D$507,$B79,Bills!$K$8:$K$507,"&gt;0",Bills!$U$8:$U$507,"&gt;="&amp;31,Bills!$U$8:$U$507,"&lt;="&amp;60))</f>
        <v/>
      </c>
      <c r="G79" s="46" t="str">
        <f aca="false">IF(Suppliers!$B$79="","",SUMIFS(Bills!$K$8:$K$507,Bills!$D$8:$D$507,$B79,Bills!$K$8:$K$507,"&gt;0",Bills!$U$8:$U$507,"&gt;="&amp;61,Bills!$U$8:$U$507,"&lt;="&amp;90))</f>
        <v/>
      </c>
      <c r="H79" s="46" t="str">
        <f aca="false">IF(Suppliers!$B$79="","",SUMIFS(Bills!$K$8:$K$507,Bills!$D$8:$D$507,$B79,Bills!$K$8:$K$507,"&gt;0",Bills!$U$8:$U$507,"&gt;="&amp;91))</f>
        <v/>
      </c>
      <c r="I79" s="67" t="str">
        <f aca="false">IF(Suppliers!$B$79="","",MAX(0,Suppliers!$R$79-SUMIFS(Bills!$P$8:$P$507,Bills!$D$8:$D$507,$B79)))</f>
        <v/>
      </c>
      <c r="J79" s="55" t="str">
        <f aca="false">IF(Suppliers!$B$79="","",IF(COUNTIFS(Bills!$D$8:$D$507,$B79,Bills!$U$8:$U$507,"&gt;0")=0,"",SUMPRODUCT(MAX((Bills!$D$8:$D$507=$B79)*Bills!$U$8:$U$507))))</f>
        <v/>
      </c>
      <c r="K79" s="54" t="str">
        <f aca="false">IF(Suppliers!$B$79="","",IF(COUNTIF(Payments!$C$8:$C$507,$B79)=0,"–",SUMPRODUCT(MAX((Payments!$C$8:$C$507=$B79)*Payments!$B$8:$B$507))))</f>
        <v/>
      </c>
      <c r="L79" s="63" t="str">
        <f aca="false">IF(Suppliers!$B$79="","",Suppliers!$F$79&amp;"")</f>
        <v/>
      </c>
      <c r="M79" s="49" t="str">
        <f aca="false">IF(Suppliers!$B$79="","",Suppliers!$N$79)</f>
        <v/>
      </c>
      <c r="N79" s="9" t="n">
        <f aca="false">IF(B79="",-1,N(H79)+N(G79)+N(F79)+N(E79)+ROW()/1000000)</f>
        <v>-1</v>
      </c>
    </row>
    <row r="80" customFormat="false" ht="15" hidden="false" customHeight="false" outlineLevel="0" collapsed="false">
      <c r="A80" s="40" t="str">
        <f aca="false">IF(Suppliers!$B$80="","",74)</f>
        <v/>
      </c>
      <c r="B80" s="65" t="str">
        <f aca="false">IF(Suppliers!$B$80="","",Suppliers!$B$80)</f>
        <v/>
      </c>
      <c r="C80" s="66" t="str">
        <f aca="false">IF(Suppliers!$B$80="","",Suppliers!$K$80)</f>
        <v/>
      </c>
      <c r="D80" s="46" t="str">
        <f aca="false">IF(Suppliers!$B$80="","",SUMIFS(Bills!$K$8:$K$507,Bills!$D$8:$D$507,$B80,Bills!$K$8:$K$507,"&gt;0",Bills!$U$8:$U$507,0))</f>
        <v/>
      </c>
      <c r="E80" s="46" t="str">
        <f aca="false">IF(Suppliers!$B$80="","",SUMIFS(Bills!$K$8:$K$507,Bills!$D$8:$D$507,$B80,Bills!$K$8:$K$507,"&gt;0",Bills!$U$8:$U$507,"&gt;="&amp;1,Bills!$U$8:$U$507,"&lt;="&amp;30))</f>
        <v/>
      </c>
      <c r="F80" s="46" t="str">
        <f aca="false">IF(Suppliers!$B$80="","",SUMIFS(Bills!$K$8:$K$507,Bills!$D$8:$D$507,$B80,Bills!$K$8:$K$507,"&gt;0",Bills!$U$8:$U$507,"&gt;="&amp;31,Bills!$U$8:$U$507,"&lt;="&amp;60))</f>
        <v/>
      </c>
      <c r="G80" s="46" t="str">
        <f aca="false">IF(Suppliers!$B$80="","",SUMIFS(Bills!$K$8:$K$507,Bills!$D$8:$D$507,$B80,Bills!$K$8:$K$507,"&gt;0",Bills!$U$8:$U$507,"&gt;="&amp;61,Bills!$U$8:$U$507,"&lt;="&amp;90))</f>
        <v/>
      </c>
      <c r="H80" s="46" t="str">
        <f aca="false">IF(Suppliers!$B$80="","",SUMIFS(Bills!$K$8:$K$507,Bills!$D$8:$D$507,$B80,Bills!$K$8:$K$507,"&gt;0",Bills!$U$8:$U$507,"&gt;="&amp;91))</f>
        <v/>
      </c>
      <c r="I80" s="67" t="str">
        <f aca="false">IF(Suppliers!$B$80="","",MAX(0,Suppliers!$R$80-SUMIFS(Bills!$P$8:$P$507,Bills!$D$8:$D$507,$B80)))</f>
        <v/>
      </c>
      <c r="J80" s="55" t="str">
        <f aca="false">IF(Suppliers!$B$80="","",IF(COUNTIFS(Bills!$D$8:$D$507,$B80,Bills!$U$8:$U$507,"&gt;0")=0,"",SUMPRODUCT(MAX((Bills!$D$8:$D$507=$B80)*Bills!$U$8:$U$507))))</f>
        <v/>
      </c>
      <c r="K80" s="54" t="str">
        <f aca="false">IF(Suppliers!$B$80="","",IF(COUNTIF(Payments!$C$8:$C$507,$B80)=0,"–",SUMPRODUCT(MAX((Payments!$C$8:$C$507=$B80)*Payments!$B$8:$B$507))))</f>
        <v/>
      </c>
      <c r="L80" s="63" t="str">
        <f aca="false">IF(Suppliers!$B$80="","",Suppliers!$F$80&amp;"")</f>
        <v/>
      </c>
      <c r="M80" s="49" t="str">
        <f aca="false">IF(Suppliers!$B$80="","",Suppliers!$N$80)</f>
        <v/>
      </c>
      <c r="N80" s="9" t="n">
        <f aca="false">IF(B80="",-1,N(H80)+N(G80)+N(F80)+N(E80)+ROW()/1000000)</f>
        <v>-1</v>
      </c>
    </row>
    <row r="81" customFormat="false" ht="15" hidden="false" customHeight="false" outlineLevel="0" collapsed="false">
      <c r="A81" s="40" t="str">
        <f aca="false">IF(Suppliers!$B$81="","",75)</f>
        <v/>
      </c>
      <c r="B81" s="65" t="str">
        <f aca="false">IF(Suppliers!$B$81="","",Suppliers!$B$81)</f>
        <v/>
      </c>
      <c r="C81" s="66" t="str">
        <f aca="false">IF(Suppliers!$B$81="","",Suppliers!$K$81)</f>
        <v/>
      </c>
      <c r="D81" s="46" t="str">
        <f aca="false">IF(Suppliers!$B$81="","",SUMIFS(Bills!$K$8:$K$507,Bills!$D$8:$D$507,$B81,Bills!$K$8:$K$507,"&gt;0",Bills!$U$8:$U$507,0))</f>
        <v/>
      </c>
      <c r="E81" s="46" t="str">
        <f aca="false">IF(Suppliers!$B$81="","",SUMIFS(Bills!$K$8:$K$507,Bills!$D$8:$D$507,$B81,Bills!$K$8:$K$507,"&gt;0",Bills!$U$8:$U$507,"&gt;="&amp;1,Bills!$U$8:$U$507,"&lt;="&amp;30))</f>
        <v/>
      </c>
      <c r="F81" s="46" t="str">
        <f aca="false">IF(Suppliers!$B$81="","",SUMIFS(Bills!$K$8:$K$507,Bills!$D$8:$D$507,$B81,Bills!$K$8:$K$507,"&gt;0",Bills!$U$8:$U$507,"&gt;="&amp;31,Bills!$U$8:$U$507,"&lt;="&amp;60))</f>
        <v/>
      </c>
      <c r="G81" s="46" t="str">
        <f aca="false">IF(Suppliers!$B$81="","",SUMIFS(Bills!$K$8:$K$507,Bills!$D$8:$D$507,$B81,Bills!$K$8:$K$507,"&gt;0",Bills!$U$8:$U$507,"&gt;="&amp;61,Bills!$U$8:$U$507,"&lt;="&amp;90))</f>
        <v/>
      </c>
      <c r="H81" s="46" t="str">
        <f aca="false">IF(Suppliers!$B$81="","",SUMIFS(Bills!$K$8:$K$507,Bills!$D$8:$D$507,$B81,Bills!$K$8:$K$507,"&gt;0",Bills!$U$8:$U$507,"&gt;="&amp;91))</f>
        <v/>
      </c>
      <c r="I81" s="67" t="str">
        <f aca="false">IF(Suppliers!$B$81="","",MAX(0,Suppliers!$R$81-SUMIFS(Bills!$P$8:$P$507,Bills!$D$8:$D$507,$B81)))</f>
        <v/>
      </c>
      <c r="J81" s="55" t="str">
        <f aca="false">IF(Suppliers!$B$81="","",IF(COUNTIFS(Bills!$D$8:$D$507,$B81,Bills!$U$8:$U$507,"&gt;0")=0,"",SUMPRODUCT(MAX((Bills!$D$8:$D$507=$B81)*Bills!$U$8:$U$507))))</f>
        <v/>
      </c>
      <c r="K81" s="54" t="str">
        <f aca="false">IF(Suppliers!$B$81="","",IF(COUNTIF(Payments!$C$8:$C$507,$B81)=0,"–",SUMPRODUCT(MAX((Payments!$C$8:$C$507=$B81)*Payments!$B$8:$B$507))))</f>
        <v/>
      </c>
      <c r="L81" s="63" t="str">
        <f aca="false">IF(Suppliers!$B$81="","",Suppliers!$F$81&amp;"")</f>
        <v/>
      </c>
      <c r="M81" s="49" t="str">
        <f aca="false">IF(Suppliers!$B$81="","",Suppliers!$N$81)</f>
        <v/>
      </c>
      <c r="N81" s="9" t="n">
        <f aca="false">IF(B81="",-1,N(H81)+N(G81)+N(F81)+N(E81)+ROW()/1000000)</f>
        <v>-1</v>
      </c>
    </row>
    <row r="82" customFormat="false" ht="15" hidden="false" customHeight="false" outlineLevel="0" collapsed="false">
      <c r="A82" s="40" t="str">
        <f aca="false">IF(Suppliers!$B$82="","",76)</f>
        <v/>
      </c>
      <c r="B82" s="65" t="str">
        <f aca="false">IF(Suppliers!$B$82="","",Suppliers!$B$82)</f>
        <v/>
      </c>
      <c r="C82" s="66" t="str">
        <f aca="false">IF(Suppliers!$B$82="","",Suppliers!$K$82)</f>
        <v/>
      </c>
      <c r="D82" s="46" t="str">
        <f aca="false">IF(Suppliers!$B$82="","",SUMIFS(Bills!$K$8:$K$507,Bills!$D$8:$D$507,$B82,Bills!$K$8:$K$507,"&gt;0",Bills!$U$8:$U$507,0))</f>
        <v/>
      </c>
      <c r="E82" s="46" t="str">
        <f aca="false">IF(Suppliers!$B$82="","",SUMIFS(Bills!$K$8:$K$507,Bills!$D$8:$D$507,$B82,Bills!$K$8:$K$507,"&gt;0",Bills!$U$8:$U$507,"&gt;="&amp;1,Bills!$U$8:$U$507,"&lt;="&amp;30))</f>
        <v/>
      </c>
      <c r="F82" s="46" t="str">
        <f aca="false">IF(Suppliers!$B$82="","",SUMIFS(Bills!$K$8:$K$507,Bills!$D$8:$D$507,$B82,Bills!$K$8:$K$507,"&gt;0",Bills!$U$8:$U$507,"&gt;="&amp;31,Bills!$U$8:$U$507,"&lt;="&amp;60))</f>
        <v/>
      </c>
      <c r="G82" s="46" t="str">
        <f aca="false">IF(Suppliers!$B$82="","",SUMIFS(Bills!$K$8:$K$507,Bills!$D$8:$D$507,$B82,Bills!$K$8:$K$507,"&gt;0",Bills!$U$8:$U$507,"&gt;="&amp;61,Bills!$U$8:$U$507,"&lt;="&amp;90))</f>
        <v/>
      </c>
      <c r="H82" s="46" t="str">
        <f aca="false">IF(Suppliers!$B$82="","",SUMIFS(Bills!$K$8:$K$507,Bills!$D$8:$D$507,$B82,Bills!$K$8:$K$507,"&gt;0",Bills!$U$8:$U$507,"&gt;="&amp;91))</f>
        <v/>
      </c>
      <c r="I82" s="67" t="str">
        <f aca="false">IF(Suppliers!$B$82="","",MAX(0,Suppliers!$R$82-SUMIFS(Bills!$P$8:$P$507,Bills!$D$8:$D$507,$B82)))</f>
        <v/>
      </c>
      <c r="J82" s="55" t="str">
        <f aca="false">IF(Suppliers!$B$82="","",IF(COUNTIFS(Bills!$D$8:$D$507,$B82,Bills!$U$8:$U$507,"&gt;0")=0,"",SUMPRODUCT(MAX((Bills!$D$8:$D$507=$B82)*Bills!$U$8:$U$507))))</f>
        <v/>
      </c>
      <c r="K82" s="54" t="str">
        <f aca="false">IF(Suppliers!$B$82="","",IF(COUNTIF(Payments!$C$8:$C$507,$B82)=0,"–",SUMPRODUCT(MAX((Payments!$C$8:$C$507=$B82)*Payments!$B$8:$B$507))))</f>
        <v/>
      </c>
      <c r="L82" s="63" t="str">
        <f aca="false">IF(Suppliers!$B$82="","",Suppliers!$F$82&amp;"")</f>
        <v/>
      </c>
      <c r="M82" s="49" t="str">
        <f aca="false">IF(Suppliers!$B$82="","",Suppliers!$N$82)</f>
        <v/>
      </c>
      <c r="N82" s="9" t="n">
        <f aca="false">IF(B82="",-1,N(H82)+N(G82)+N(F82)+N(E82)+ROW()/1000000)</f>
        <v>-1</v>
      </c>
    </row>
    <row r="83" customFormat="false" ht="15" hidden="false" customHeight="false" outlineLevel="0" collapsed="false">
      <c r="A83" s="40" t="str">
        <f aca="false">IF(Suppliers!$B$83="","",77)</f>
        <v/>
      </c>
      <c r="B83" s="65" t="str">
        <f aca="false">IF(Suppliers!$B$83="","",Suppliers!$B$83)</f>
        <v/>
      </c>
      <c r="C83" s="66" t="str">
        <f aca="false">IF(Suppliers!$B$83="","",Suppliers!$K$83)</f>
        <v/>
      </c>
      <c r="D83" s="46" t="str">
        <f aca="false">IF(Suppliers!$B$83="","",SUMIFS(Bills!$K$8:$K$507,Bills!$D$8:$D$507,$B83,Bills!$K$8:$K$507,"&gt;0",Bills!$U$8:$U$507,0))</f>
        <v/>
      </c>
      <c r="E83" s="46" t="str">
        <f aca="false">IF(Suppliers!$B$83="","",SUMIFS(Bills!$K$8:$K$507,Bills!$D$8:$D$507,$B83,Bills!$K$8:$K$507,"&gt;0",Bills!$U$8:$U$507,"&gt;="&amp;1,Bills!$U$8:$U$507,"&lt;="&amp;30))</f>
        <v/>
      </c>
      <c r="F83" s="46" t="str">
        <f aca="false">IF(Suppliers!$B$83="","",SUMIFS(Bills!$K$8:$K$507,Bills!$D$8:$D$507,$B83,Bills!$K$8:$K$507,"&gt;0",Bills!$U$8:$U$507,"&gt;="&amp;31,Bills!$U$8:$U$507,"&lt;="&amp;60))</f>
        <v/>
      </c>
      <c r="G83" s="46" t="str">
        <f aca="false">IF(Suppliers!$B$83="","",SUMIFS(Bills!$K$8:$K$507,Bills!$D$8:$D$507,$B83,Bills!$K$8:$K$507,"&gt;0",Bills!$U$8:$U$507,"&gt;="&amp;61,Bills!$U$8:$U$507,"&lt;="&amp;90))</f>
        <v/>
      </c>
      <c r="H83" s="46" t="str">
        <f aca="false">IF(Suppliers!$B$83="","",SUMIFS(Bills!$K$8:$K$507,Bills!$D$8:$D$507,$B83,Bills!$K$8:$K$507,"&gt;0",Bills!$U$8:$U$507,"&gt;="&amp;91))</f>
        <v/>
      </c>
      <c r="I83" s="67" t="str">
        <f aca="false">IF(Suppliers!$B$83="","",MAX(0,Suppliers!$R$83-SUMIFS(Bills!$P$8:$P$507,Bills!$D$8:$D$507,$B83)))</f>
        <v/>
      </c>
      <c r="J83" s="55" t="str">
        <f aca="false">IF(Suppliers!$B$83="","",IF(COUNTIFS(Bills!$D$8:$D$507,$B83,Bills!$U$8:$U$507,"&gt;0")=0,"",SUMPRODUCT(MAX((Bills!$D$8:$D$507=$B83)*Bills!$U$8:$U$507))))</f>
        <v/>
      </c>
      <c r="K83" s="54" t="str">
        <f aca="false">IF(Suppliers!$B$83="","",IF(COUNTIF(Payments!$C$8:$C$507,$B83)=0,"–",SUMPRODUCT(MAX((Payments!$C$8:$C$507=$B83)*Payments!$B$8:$B$507))))</f>
        <v/>
      </c>
      <c r="L83" s="63" t="str">
        <f aca="false">IF(Suppliers!$B$83="","",Suppliers!$F$83&amp;"")</f>
        <v/>
      </c>
      <c r="M83" s="49" t="str">
        <f aca="false">IF(Suppliers!$B$83="","",Suppliers!$N$83)</f>
        <v/>
      </c>
      <c r="N83" s="9" t="n">
        <f aca="false">IF(B83="",-1,N(H83)+N(G83)+N(F83)+N(E83)+ROW()/1000000)</f>
        <v>-1</v>
      </c>
    </row>
    <row r="84" customFormat="false" ht="15" hidden="false" customHeight="false" outlineLevel="0" collapsed="false">
      <c r="A84" s="40" t="str">
        <f aca="false">IF(Suppliers!$B$84="","",78)</f>
        <v/>
      </c>
      <c r="B84" s="65" t="str">
        <f aca="false">IF(Suppliers!$B$84="","",Suppliers!$B$84)</f>
        <v/>
      </c>
      <c r="C84" s="66" t="str">
        <f aca="false">IF(Suppliers!$B$84="","",Suppliers!$K$84)</f>
        <v/>
      </c>
      <c r="D84" s="46" t="str">
        <f aca="false">IF(Suppliers!$B$84="","",SUMIFS(Bills!$K$8:$K$507,Bills!$D$8:$D$507,$B84,Bills!$K$8:$K$507,"&gt;0",Bills!$U$8:$U$507,0))</f>
        <v/>
      </c>
      <c r="E84" s="46" t="str">
        <f aca="false">IF(Suppliers!$B$84="","",SUMIFS(Bills!$K$8:$K$507,Bills!$D$8:$D$507,$B84,Bills!$K$8:$K$507,"&gt;0",Bills!$U$8:$U$507,"&gt;="&amp;1,Bills!$U$8:$U$507,"&lt;="&amp;30))</f>
        <v/>
      </c>
      <c r="F84" s="46" t="str">
        <f aca="false">IF(Suppliers!$B$84="","",SUMIFS(Bills!$K$8:$K$507,Bills!$D$8:$D$507,$B84,Bills!$K$8:$K$507,"&gt;0",Bills!$U$8:$U$507,"&gt;="&amp;31,Bills!$U$8:$U$507,"&lt;="&amp;60))</f>
        <v/>
      </c>
      <c r="G84" s="46" t="str">
        <f aca="false">IF(Suppliers!$B$84="","",SUMIFS(Bills!$K$8:$K$507,Bills!$D$8:$D$507,$B84,Bills!$K$8:$K$507,"&gt;0",Bills!$U$8:$U$507,"&gt;="&amp;61,Bills!$U$8:$U$507,"&lt;="&amp;90))</f>
        <v/>
      </c>
      <c r="H84" s="46" t="str">
        <f aca="false">IF(Suppliers!$B$84="","",SUMIFS(Bills!$K$8:$K$507,Bills!$D$8:$D$507,$B84,Bills!$K$8:$K$507,"&gt;0",Bills!$U$8:$U$507,"&gt;="&amp;91))</f>
        <v/>
      </c>
      <c r="I84" s="67" t="str">
        <f aca="false">IF(Suppliers!$B$84="","",MAX(0,Suppliers!$R$84-SUMIFS(Bills!$P$8:$P$507,Bills!$D$8:$D$507,$B84)))</f>
        <v/>
      </c>
      <c r="J84" s="55" t="str">
        <f aca="false">IF(Suppliers!$B$84="","",IF(COUNTIFS(Bills!$D$8:$D$507,$B84,Bills!$U$8:$U$507,"&gt;0")=0,"",SUMPRODUCT(MAX((Bills!$D$8:$D$507=$B84)*Bills!$U$8:$U$507))))</f>
        <v/>
      </c>
      <c r="K84" s="54" t="str">
        <f aca="false">IF(Suppliers!$B$84="","",IF(COUNTIF(Payments!$C$8:$C$507,$B84)=0,"–",SUMPRODUCT(MAX((Payments!$C$8:$C$507=$B84)*Payments!$B$8:$B$507))))</f>
        <v/>
      </c>
      <c r="L84" s="63" t="str">
        <f aca="false">IF(Suppliers!$B$84="","",Suppliers!$F$84&amp;"")</f>
        <v/>
      </c>
      <c r="M84" s="49" t="str">
        <f aca="false">IF(Suppliers!$B$84="","",Suppliers!$N$84)</f>
        <v/>
      </c>
      <c r="N84" s="9" t="n">
        <f aca="false">IF(B84="",-1,N(H84)+N(G84)+N(F84)+N(E84)+ROW()/1000000)</f>
        <v>-1</v>
      </c>
    </row>
    <row r="85" customFormat="false" ht="15" hidden="false" customHeight="false" outlineLevel="0" collapsed="false">
      <c r="A85" s="40" t="str">
        <f aca="false">IF(Suppliers!$B$85="","",79)</f>
        <v/>
      </c>
      <c r="B85" s="65" t="str">
        <f aca="false">IF(Suppliers!$B$85="","",Suppliers!$B$85)</f>
        <v/>
      </c>
      <c r="C85" s="66" t="str">
        <f aca="false">IF(Suppliers!$B$85="","",Suppliers!$K$85)</f>
        <v/>
      </c>
      <c r="D85" s="46" t="str">
        <f aca="false">IF(Suppliers!$B$85="","",SUMIFS(Bills!$K$8:$K$507,Bills!$D$8:$D$507,$B85,Bills!$K$8:$K$507,"&gt;0",Bills!$U$8:$U$507,0))</f>
        <v/>
      </c>
      <c r="E85" s="46" t="str">
        <f aca="false">IF(Suppliers!$B$85="","",SUMIFS(Bills!$K$8:$K$507,Bills!$D$8:$D$507,$B85,Bills!$K$8:$K$507,"&gt;0",Bills!$U$8:$U$507,"&gt;="&amp;1,Bills!$U$8:$U$507,"&lt;="&amp;30))</f>
        <v/>
      </c>
      <c r="F85" s="46" t="str">
        <f aca="false">IF(Suppliers!$B$85="","",SUMIFS(Bills!$K$8:$K$507,Bills!$D$8:$D$507,$B85,Bills!$K$8:$K$507,"&gt;0",Bills!$U$8:$U$507,"&gt;="&amp;31,Bills!$U$8:$U$507,"&lt;="&amp;60))</f>
        <v/>
      </c>
      <c r="G85" s="46" t="str">
        <f aca="false">IF(Suppliers!$B$85="","",SUMIFS(Bills!$K$8:$K$507,Bills!$D$8:$D$507,$B85,Bills!$K$8:$K$507,"&gt;0",Bills!$U$8:$U$507,"&gt;="&amp;61,Bills!$U$8:$U$507,"&lt;="&amp;90))</f>
        <v/>
      </c>
      <c r="H85" s="46" t="str">
        <f aca="false">IF(Suppliers!$B$85="","",SUMIFS(Bills!$K$8:$K$507,Bills!$D$8:$D$507,$B85,Bills!$K$8:$K$507,"&gt;0",Bills!$U$8:$U$507,"&gt;="&amp;91))</f>
        <v/>
      </c>
      <c r="I85" s="67" t="str">
        <f aca="false">IF(Suppliers!$B$85="","",MAX(0,Suppliers!$R$85-SUMIFS(Bills!$P$8:$P$507,Bills!$D$8:$D$507,$B85)))</f>
        <v/>
      </c>
      <c r="J85" s="55" t="str">
        <f aca="false">IF(Suppliers!$B$85="","",IF(COUNTIFS(Bills!$D$8:$D$507,$B85,Bills!$U$8:$U$507,"&gt;0")=0,"",SUMPRODUCT(MAX((Bills!$D$8:$D$507=$B85)*Bills!$U$8:$U$507))))</f>
        <v/>
      </c>
      <c r="K85" s="54" t="str">
        <f aca="false">IF(Suppliers!$B$85="","",IF(COUNTIF(Payments!$C$8:$C$507,$B85)=0,"–",SUMPRODUCT(MAX((Payments!$C$8:$C$507=$B85)*Payments!$B$8:$B$507))))</f>
        <v/>
      </c>
      <c r="L85" s="63" t="str">
        <f aca="false">IF(Suppliers!$B$85="","",Suppliers!$F$85&amp;"")</f>
        <v/>
      </c>
      <c r="M85" s="49" t="str">
        <f aca="false">IF(Suppliers!$B$85="","",Suppliers!$N$85)</f>
        <v/>
      </c>
      <c r="N85" s="9" t="n">
        <f aca="false">IF(B85="",-1,N(H85)+N(G85)+N(F85)+N(E85)+ROW()/1000000)</f>
        <v>-1</v>
      </c>
    </row>
    <row r="86" customFormat="false" ht="15" hidden="false" customHeight="false" outlineLevel="0" collapsed="false">
      <c r="A86" s="40" t="str">
        <f aca="false">IF(Suppliers!$B$86="","",80)</f>
        <v/>
      </c>
      <c r="B86" s="65" t="str">
        <f aca="false">IF(Suppliers!$B$86="","",Suppliers!$B$86)</f>
        <v/>
      </c>
      <c r="C86" s="66" t="str">
        <f aca="false">IF(Suppliers!$B$86="","",Suppliers!$K$86)</f>
        <v/>
      </c>
      <c r="D86" s="46" t="str">
        <f aca="false">IF(Suppliers!$B$86="","",SUMIFS(Bills!$K$8:$K$507,Bills!$D$8:$D$507,$B86,Bills!$K$8:$K$507,"&gt;0",Bills!$U$8:$U$507,0))</f>
        <v/>
      </c>
      <c r="E86" s="46" t="str">
        <f aca="false">IF(Suppliers!$B$86="","",SUMIFS(Bills!$K$8:$K$507,Bills!$D$8:$D$507,$B86,Bills!$K$8:$K$507,"&gt;0",Bills!$U$8:$U$507,"&gt;="&amp;1,Bills!$U$8:$U$507,"&lt;="&amp;30))</f>
        <v/>
      </c>
      <c r="F86" s="46" t="str">
        <f aca="false">IF(Suppliers!$B$86="","",SUMIFS(Bills!$K$8:$K$507,Bills!$D$8:$D$507,$B86,Bills!$K$8:$K$507,"&gt;0",Bills!$U$8:$U$507,"&gt;="&amp;31,Bills!$U$8:$U$507,"&lt;="&amp;60))</f>
        <v/>
      </c>
      <c r="G86" s="46" t="str">
        <f aca="false">IF(Suppliers!$B$86="","",SUMIFS(Bills!$K$8:$K$507,Bills!$D$8:$D$507,$B86,Bills!$K$8:$K$507,"&gt;0",Bills!$U$8:$U$507,"&gt;="&amp;61,Bills!$U$8:$U$507,"&lt;="&amp;90))</f>
        <v/>
      </c>
      <c r="H86" s="46" t="str">
        <f aca="false">IF(Suppliers!$B$86="","",SUMIFS(Bills!$K$8:$K$507,Bills!$D$8:$D$507,$B86,Bills!$K$8:$K$507,"&gt;0",Bills!$U$8:$U$507,"&gt;="&amp;91))</f>
        <v/>
      </c>
      <c r="I86" s="67" t="str">
        <f aca="false">IF(Suppliers!$B$86="","",MAX(0,Suppliers!$R$86-SUMIFS(Bills!$P$8:$P$507,Bills!$D$8:$D$507,$B86)))</f>
        <v/>
      </c>
      <c r="J86" s="55" t="str">
        <f aca="false">IF(Suppliers!$B$86="","",IF(COUNTIFS(Bills!$D$8:$D$507,$B86,Bills!$U$8:$U$507,"&gt;0")=0,"",SUMPRODUCT(MAX((Bills!$D$8:$D$507=$B86)*Bills!$U$8:$U$507))))</f>
        <v/>
      </c>
      <c r="K86" s="54" t="str">
        <f aca="false">IF(Suppliers!$B$86="","",IF(COUNTIF(Payments!$C$8:$C$507,$B86)=0,"–",SUMPRODUCT(MAX((Payments!$C$8:$C$507=$B86)*Payments!$B$8:$B$507))))</f>
        <v/>
      </c>
      <c r="L86" s="63" t="str">
        <f aca="false">IF(Suppliers!$B$86="","",Suppliers!$F$86&amp;"")</f>
        <v/>
      </c>
      <c r="M86" s="49" t="str">
        <f aca="false">IF(Suppliers!$B$86="","",Suppliers!$N$86)</f>
        <v/>
      </c>
      <c r="N86" s="9" t="n">
        <f aca="false">IF(B86="",-1,N(H86)+N(G86)+N(F86)+N(E86)+ROW()/1000000)</f>
        <v>-1</v>
      </c>
    </row>
    <row r="87" customFormat="false" ht="15" hidden="false" customHeight="false" outlineLevel="0" collapsed="false">
      <c r="A87" s="40" t="str">
        <f aca="false">IF(Suppliers!$B$87="","",81)</f>
        <v/>
      </c>
      <c r="B87" s="65" t="str">
        <f aca="false">IF(Suppliers!$B$87="","",Suppliers!$B$87)</f>
        <v/>
      </c>
      <c r="C87" s="66" t="str">
        <f aca="false">IF(Suppliers!$B$87="","",Suppliers!$K$87)</f>
        <v/>
      </c>
      <c r="D87" s="46" t="str">
        <f aca="false">IF(Suppliers!$B$87="","",SUMIFS(Bills!$K$8:$K$507,Bills!$D$8:$D$507,$B87,Bills!$K$8:$K$507,"&gt;0",Bills!$U$8:$U$507,0))</f>
        <v/>
      </c>
      <c r="E87" s="46" t="str">
        <f aca="false">IF(Suppliers!$B$87="","",SUMIFS(Bills!$K$8:$K$507,Bills!$D$8:$D$507,$B87,Bills!$K$8:$K$507,"&gt;0",Bills!$U$8:$U$507,"&gt;="&amp;1,Bills!$U$8:$U$507,"&lt;="&amp;30))</f>
        <v/>
      </c>
      <c r="F87" s="46" t="str">
        <f aca="false">IF(Suppliers!$B$87="","",SUMIFS(Bills!$K$8:$K$507,Bills!$D$8:$D$507,$B87,Bills!$K$8:$K$507,"&gt;0",Bills!$U$8:$U$507,"&gt;="&amp;31,Bills!$U$8:$U$507,"&lt;="&amp;60))</f>
        <v/>
      </c>
      <c r="G87" s="46" t="str">
        <f aca="false">IF(Suppliers!$B$87="","",SUMIFS(Bills!$K$8:$K$507,Bills!$D$8:$D$507,$B87,Bills!$K$8:$K$507,"&gt;0",Bills!$U$8:$U$507,"&gt;="&amp;61,Bills!$U$8:$U$507,"&lt;="&amp;90))</f>
        <v/>
      </c>
      <c r="H87" s="46" t="str">
        <f aca="false">IF(Suppliers!$B$87="","",SUMIFS(Bills!$K$8:$K$507,Bills!$D$8:$D$507,$B87,Bills!$K$8:$K$507,"&gt;0",Bills!$U$8:$U$507,"&gt;="&amp;91))</f>
        <v/>
      </c>
      <c r="I87" s="67" t="str">
        <f aca="false">IF(Suppliers!$B$87="","",MAX(0,Suppliers!$R$87-SUMIFS(Bills!$P$8:$P$507,Bills!$D$8:$D$507,$B87)))</f>
        <v/>
      </c>
      <c r="J87" s="55" t="str">
        <f aca="false">IF(Suppliers!$B$87="","",IF(COUNTIFS(Bills!$D$8:$D$507,$B87,Bills!$U$8:$U$507,"&gt;0")=0,"",SUMPRODUCT(MAX((Bills!$D$8:$D$507=$B87)*Bills!$U$8:$U$507))))</f>
        <v/>
      </c>
      <c r="K87" s="54" t="str">
        <f aca="false">IF(Suppliers!$B$87="","",IF(COUNTIF(Payments!$C$8:$C$507,$B87)=0,"–",SUMPRODUCT(MAX((Payments!$C$8:$C$507=$B87)*Payments!$B$8:$B$507))))</f>
        <v/>
      </c>
      <c r="L87" s="63" t="str">
        <f aca="false">IF(Suppliers!$B$87="","",Suppliers!$F$87&amp;"")</f>
        <v/>
      </c>
      <c r="M87" s="49" t="str">
        <f aca="false">IF(Suppliers!$B$87="","",Suppliers!$N$87)</f>
        <v/>
      </c>
      <c r="N87" s="9" t="n">
        <f aca="false">IF(B87="",-1,N(H87)+N(G87)+N(F87)+N(E87)+ROW()/1000000)</f>
        <v>-1</v>
      </c>
    </row>
    <row r="88" customFormat="false" ht="15" hidden="false" customHeight="false" outlineLevel="0" collapsed="false">
      <c r="A88" s="40" t="str">
        <f aca="false">IF(Suppliers!$B$88="","",82)</f>
        <v/>
      </c>
      <c r="B88" s="65" t="str">
        <f aca="false">IF(Suppliers!$B$88="","",Suppliers!$B$88)</f>
        <v/>
      </c>
      <c r="C88" s="66" t="str">
        <f aca="false">IF(Suppliers!$B$88="","",Suppliers!$K$88)</f>
        <v/>
      </c>
      <c r="D88" s="46" t="str">
        <f aca="false">IF(Suppliers!$B$88="","",SUMIFS(Bills!$K$8:$K$507,Bills!$D$8:$D$507,$B88,Bills!$K$8:$K$507,"&gt;0",Bills!$U$8:$U$507,0))</f>
        <v/>
      </c>
      <c r="E88" s="46" t="str">
        <f aca="false">IF(Suppliers!$B$88="","",SUMIFS(Bills!$K$8:$K$507,Bills!$D$8:$D$507,$B88,Bills!$K$8:$K$507,"&gt;0",Bills!$U$8:$U$507,"&gt;="&amp;1,Bills!$U$8:$U$507,"&lt;="&amp;30))</f>
        <v/>
      </c>
      <c r="F88" s="46" t="str">
        <f aca="false">IF(Suppliers!$B$88="","",SUMIFS(Bills!$K$8:$K$507,Bills!$D$8:$D$507,$B88,Bills!$K$8:$K$507,"&gt;0",Bills!$U$8:$U$507,"&gt;="&amp;31,Bills!$U$8:$U$507,"&lt;="&amp;60))</f>
        <v/>
      </c>
      <c r="G88" s="46" t="str">
        <f aca="false">IF(Suppliers!$B$88="","",SUMIFS(Bills!$K$8:$K$507,Bills!$D$8:$D$507,$B88,Bills!$K$8:$K$507,"&gt;0",Bills!$U$8:$U$507,"&gt;="&amp;61,Bills!$U$8:$U$507,"&lt;="&amp;90))</f>
        <v/>
      </c>
      <c r="H88" s="46" t="str">
        <f aca="false">IF(Suppliers!$B$88="","",SUMIFS(Bills!$K$8:$K$507,Bills!$D$8:$D$507,$B88,Bills!$K$8:$K$507,"&gt;0",Bills!$U$8:$U$507,"&gt;="&amp;91))</f>
        <v/>
      </c>
      <c r="I88" s="67" t="str">
        <f aca="false">IF(Suppliers!$B$88="","",MAX(0,Suppliers!$R$88-SUMIFS(Bills!$P$8:$P$507,Bills!$D$8:$D$507,$B88)))</f>
        <v/>
      </c>
      <c r="J88" s="55" t="str">
        <f aca="false">IF(Suppliers!$B$88="","",IF(COUNTIFS(Bills!$D$8:$D$507,$B88,Bills!$U$8:$U$507,"&gt;0")=0,"",SUMPRODUCT(MAX((Bills!$D$8:$D$507=$B88)*Bills!$U$8:$U$507))))</f>
        <v/>
      </c>
      <c r="K88" s="54" t="str">
        <f aca="false">IF(Suppliers!$B$88="","",IF(COUNTIF(Payments!$C$8:$C$507,$B88)=0,"–",SUMPRODUCT(MAX((Payments!$C$8:$C$507=$B88)*Payments!$B$8:$B$507))))</f>
        <v/>
      </c>
      <c r="L88" s="63" t="str">
        <f aca="false">IF(Suppliers!$B$88="","",Suppliers!$F$88&amp;"")</f>
        <v/>
      </c>
      <c r="M88" s="49" t="str">
        <f aca="false">IF(Suppliers!$B$88="","",Suppliers!$N$88)</f>
        <v/>
      </c>
      <c r="N88" s="9" t="n">
        <f aca="false">IF(B88="",-1,N(H88)+N(G88)+N(F88)+N(E88)+ROW()/1000000)</f>
        <v>-1</v>
      </c>
    </row>
    <row r="89" customFormat="false" ht="15" hidden="false" customHeight="false" outlineLevel="0" collapsed="false">
      <c r="A89" s="40" t="str">
        <f aca="false">IF(Suppliers!$B$89="","",83)</f>
        <v/>
      </c>
      <c r="B89" s="65" t="str">
        <f aca="false">IF(Suppliers!$B$89="","",Suppliers!$B$89)</f>
        <v/>
      </c>
      <c r="C89" s="66" t="str">
        <f aca="false">IF(Suppliers!$B$89="","",Suppliers!$K$89)</f>
        <v/>
      </c>
      <c r="D89" s="46" t="str">
        <f aca="false">IF(Suppliers!$B$89="","",SUMIFS(Bills!$K$8:$K$507,Bills!$D$8:$D$507,$B89,Bills!$K$8:$K$507,"&gt;0",Bills!$U$8:$U$507,0))</f>
        <v/>
      </c>
      <c r="E89" s="46" t="str">
        <f aca="false">IF(Suppliers!$B$89="","",SUMIFS(Bills!$K$8:$K$507,Bills!$D$8:$D$507,$B89,Bills!$K$8:$K$507,"&gt;0",Bills!$U$8:$U$507,"&gt;="&amp;1,Bills!$U$8:$U$507,"&lt;="&amp;30))</f>
        <v/>
      </c>
      <c r="F89" s="46" t="str">
        <f aca="false">IF(Suppliers!$B$89="","",SUMIFS(Bills!$K$8:$K$507,Bills!$D$8:$D$507,$B89,Bills!$K$8:$K$507,"&gt;0",Bills!$U$8:$U$507,"&gt;="&amp;31,Bills!$U$8:$U$507,"&lt;="&amp;60))</f>
        <v/>
      </c>
      <c r="G89" s="46" t="str">
        <f aca="false">IF(Suppliers!$B$89="","",SUMIFS(Bills!$K$8:$K$507,Bills!$D$8:$D$507,$B89,Bills!$K$8:$K$507,"&gt;0",Bills!$U$8:$U$507,"&gt;="&amp;61,Bills!$U$8:$U$507,"&lt;="&amp;90))</f>
        <v/>
      </c>
      <c r="H89" s="46" t="str">
        <f aca="false">IF(Suppliers!$B$89="","",SUMIFS(Bills!$K$8:$K$507,Bills!$D$8:$D$507,$B89,Bills!$K$8:$K$507,"&gt;0",Bills!$U$8:$U$507,"&gt;="&amp;91))</f>
        <v/>
      </c>
      <c r="I89" s="67" t="str">
        <f aca="false">IF(Suppliers!$B$89="","",MAX(0,Suppliers!$R$89-SUMIFS(Bills!$P$8:$P$507,Bills!$D$8:$D$507,$B89)))</f>
        <v/>
      </c>
      <c r="J89" s="55" t="str">
        <f aca="false">IF(Suppliers!$B$89="","",IF(COUNTIFS(Bills!$D$8:$D$507,$B89,Bills!$U$8:$U$507,"&gt;0")=0,"",SUMPRODUCT(MAX((Bills!$D$8:$D$507=$B89)*Bills!$U$8:$U$507))))</f>
        <v/>
      </c>
      <c r="K89" s="54" t="str">
        <f aca="false">IF(Suppliers!$B$89="","",IF(COUNTIF(Payments!$C$8:$C$507,$B89)=0,"–",SUMPRODUCT(MAX((Payments!$C$8:$C$507=$B89)*Payments!$B$8:$B$507))))</f>
        <v/>
      </c>
      <c r="L89" s="63" t="str">
        <f aca="false">IF(Suppliers!$B$89="","",Suppliers!$F$89&amp;"")</f>
        <v/>
      </c>
      <c r="M89" s="49" t="str">
        <f aca="false">IF(Suppliers!$B$89="","",Suppliers!$N$89)</f>
        <v/>
      </c>
      <c r="N89" s="9" t="n">
        <f aca="false">IF(B89="",-1,N(H89)+N(G89)+N(F89)+N(E89)+ROW()/1000000)</f>
        <v>-1</v>
      </c>
    </row>
    <row r="90" customFormat="false" ht="15" hidden="false" customHeight="false" outlineLevel="0" collapsed="false">
      <c r="A90" s="40" t="str">
        <f aca="false">IF(Suppliers!$B$90="","",84)</f>
        <v/>
      </c>
      <c r="B90" s="65" t="str">
        <f aca="false">IF(Suppliers!$B$90="","",Suppliers!$B$90)</f>
        <v/>
      </c>
      <c r="C90" s="66" t="str">
        <f aca="false">IF(Suppliers!$B$90="","",Suppliers!$K$90)</f>
        <v/>
      </c>
      <c r="D90" s="46" t="str">
        <f aca="false">IF(Suppliers!$B$90="","",SUMIFS(Bills!$K$8:$K$507,Bills!$D$8:$D$507,$B90,Bills!$K$8:$K$507,"&gt;0",Bills!$U$8:$U$507,0))</f>
        <v/>
      </c>
      <c r="E90" s="46" t="str">
        <f aca="false">IF(Suppliers!$B$90="","",SUMIFS(Bills!$K$8:$K$507,Bills!$D$8:$D$507,$B90,Bills!$K$8:$K$507,"&gt;0",Bills!$U$8:$U$507,"&gt;="&amp;1,Bills!$U$8:$U$507,"&lt;="&amp;30))</f>
        <v/>
      </c>
      <c r="F90" s="46" t="str">
        <f aca="false">IF(Suppliers!$B$90="","",SUMIFS(Bills!$K$8:$K$507,Bills!$D$8:$D$507,$B90,Bills!$K$8:$K$507,"&gt;0",Bills!$U$8:$U$507,"&gt;="&amp;31,Bills!$U$8:$U$507,"&lt;="&amp;60))</f>
        <v/>
      </c>
      <c r="G90" s="46" t="str">
        <f aca="false">IF(Suppliers!$B$90="","",SUMIFS(Bills!$K$8:$K$507,Bills!$D$8:$D$507,$B90,Bills!$K$8:$K$507,"&gt;0",Bills!$U$8:$U$507,"&gt;="&amp;61,Bills!$U$8:$U$507,"&lt;="&amp;90))</f>
        <v/>
      </c>
      <c r="H90" s="46" t="str">
        <f aca="false">IF(Suppliers!$B$90="","",SUMIFS(Bills!$K$8:$K$507,Bills!$D$8:$D$507,$B90,Bills!$K$8:$K$507,"&gt;0",Bills!$U$8:$U$507,"&gt;="&amp;91))</f>
        <v/>
      </c>
      <c r="I90" s="67" t="str">
        <f aca="false">IF(Suppliers!$B$90="","",MAX(0,Suppliers!$R$90-SUMIFS(Bills!$P$8:$P$507,Bills!$D$8:$D$507,$B90)))</f>
        <v/>
      </c>
      <c r="J90" s="55" t="str">
        <f aca="false">IF(Suppliers!$B$90="","",IF(COUNTIFS(Bills!$D$8:$D$507,$B90,Bills!$U$8:$U$507,"&gt;0")=0,"",SUMPRODUCT(MAX((Bills!$D$8:$D$507=$B90)*Bills!$U$8:$U$507))))</f>
        <v/>
      </c>
      <c r="K90" s="54" t="str">
        <f aca="false">IF(Suppliers!$B$90="","",IF(COUNTIF(Payments!$C$8:$C$507,$B90)=0,"–",SUMPRODUCT(MAX((Payments!$C$8:$C$507=$B90)*Payments!$B$8:$B$507))))</f>
        <v/>
      </c>
      <c r="L90" s="63" t="str">
        <f aca="false">IF(Suppliers!$B$90="","",Suppliers!$F$90&amp;"")</f>
        <v/>
      </c>
      <c r="M90" s="49" t="str">
        <f aca="false">IF(Suppliers!$B$90="","",Suppliers!$N$90)</f>
        <v/>
      </c>
      <c r="N90" s="9" t="n">
        <f aca="false">IF(B90="",-1,N(H90)+N(G90)+N(F90)+N(E90)+ROW()/1000000)</f>
        <v>-1</v>
      </c>
    </row>
    <row r="91" customFormat="false" ht="15" hidden="false" customHeight="false" outlineLevel="0" collapsed="false">
      <c r="A91" s="40" t="str">
        <f aca="false">IF(Suppliers!$B$91="","",85)</f>
        <v/>
      </c>
      <c r="B91" s="65" t="str">
        <f aca="false">IF(Suppliers!$B$91="","",Suppliers!$B$91)</f>
        <v/>
      </c>
      <c r="C91" s="66" t="str">
        <f aca="false">IF(Suppliers!$B$91="","",Suppliers!$K$91)</f>
        <v/>
      </c>
      <c r="D91" s="46" t="str">
        <f aca="false">IF(Suppliers!$B$91="","",SUMIFS(Bills!$K$8:$K$507,Bills!$D$8:$D$507,$B91,Bills!$K$8:$K$507,"&gt;0",Bills!$U$8:$U$507,0))</f>
        <v/>
      </c>
      <c r="E91" s="46" t="str">
        <f aca="false">IF(Suppliers!$B$91="","",SUMIFS(Bills!$K$8:$K$507,Bills!$D$8:$D$507,$B91,Bills!$K$8:$K$507,"&gt;0",Bills!$U$8:$U$507,"&gt;="&amp;1,Bills!$U$8:$U$507,"&lt;="&amp;30))</f>
        <v/>
      </c>
      <c r="F91" s="46" t="str">
        <f aca="false">IF(Suppliers!$B$91="","",SUMIFS(Bills!$K$8:$K$507,Bills!$D$8:$D$507,$B91,Bills!$K$8:$K$507,"&gt;0",Bills!$U$8:$U$507,"&gt;="&amp;31,Bills!$U$8:$U$507,"&lt;="&amp;60))</f>
        <v/>
      </c>
      <c r="G91" s="46" t="str">
        <f aca="false">IF(Suppliers!$B$91="","",SUMIFS(Bills!$K$8:$K$507,Bills!$D$8:$D$507,$B91,Bills!$K$8:$K$507,"&gt;0",Bills!$U$8:$U$507,"&gt;="&amp;61,Bills!$U$8:$U$507,"&lt;="&amp;90))</f>
        <v/>
      </c>
      <c r="H91" s="46" t="str">
        <f aca="false">IF(Suppliers!$B$91="","",SUMIFS(Bills!$K$8:$K$507,Bills!$D$8:$D$507,$B91,Bills!$K$8:$K$507,"&gt;0",Bills!$U$8:$U$507,"&gt;="&amp;91))</f>
        <v/>
      </c>
      <c r="I91" s="67" t="str">
        <f aca="false">IF(Suppliers!$B$91="","",MAX(0,Suppliers!$R$91-SUMIFS(Bills!$P$8:$P$507,Bills!$D$8:$D$507,$B91)))</f>
        <v/>
      </c>
      <c r="J91" s="55" t="str">
        <f aca="false">IF(Suppliers!$B$91="","",IF(COUNTIFS(Bills!$D$8:$D$507,$B91,Bills!$U$8:$U$507,"&gt;0")=0,"",SUMPRODUCT(MAX((Bills!$D$8:$D$507=$B91)*Bills!$U$8:$U$507))))</f>
        <v/>
      </c>
      <c r="K91" s="54" t="str">
        <f aca="false">IF(Suppliers!$B$91="","",IF(COUNTIF(Payments!$C$8:$C$507,$B91)=0,"–",SUMPRODUCT(MAX((Payments!$C$8:$C$507=$B91)*Payments!$B$8:$B$507))))</f>
        <v/>
      </c>
      <c r="L91" s="63" t="str">
        <f aca="false">IF(Suppliers!$B$91="","",Suppliers!$F$91&amp;"")</f>
        <v/>
      </c>
      <c r="M91" s="49" t="str">
        <f aca="false">IF(Suppliers!$B$91="","",Suppliers!$N$91)</f>
        <v/>
      </c>
      <c r="N91" s="9" t="n">
        <f aca="false">IF(B91="",-1,N(H91)+N(G91)+N(F91)+N(E91)+ROW()/1000000)</f>
        <v>-1</v>
      </c>
    </row>
    <row r="92" customFormat="false" ht="15" hidden="false" customHeight="false" outlineLevel="0" collapsed="false">
      <c r="A92" s="40" t="str">
        <f aca="false">IF(Suppliers!$B$92="","",86)</f>
        <v/>
      </c>
      <c r="B92" s="65" t="str">
        <f aca="false">IF(Suppliers!$B$92="","",Suppliers!$B$92)</f>
        <v/>
      </c>
      <c r="C92" s="66" t="str">
        <f aca="false">IF(Suppliers!$B$92="","",Suppliers!$K$92)</f>
        <v/>
      </c>
      <c r="D92" s="46" t="str">
        <f aca="false">IF(Suppliers!$B$92="","",SUMIFS(Bills!$K$8:$K$507,Bills!$D$8:$D$507,$B92,Bills!$K$8:$K$507,"&gt;0",Bills!$U$8:$U$507,0))</f>
        <v/>
      </c>
      <c r="E92" s="46" t="str">
        <f aca="false">IF(Suppliers!$B$92="","",SUMIFS(Bills!$K$8:$K$507,Bills!$D$8:$D$507,$B92,Bills!$K$8:$K$507,"&gt;0",Bills!$U$8:$U$507,"&gt;="&amp;1,Bills!$U$8:$U$507,"&lt;="&amp;30))</f>
        <v/>
      </c>
      <c r="F92" s="46" t="str">
        <f aca="false">IF(Suppliers!$B$92="","",SUMIFS(Bills!$K$8:$K$507,Bills!$D$8:$D$507,$B92,Bills!$K$8:$K$507,"&gt;0",Bills!$U$8:$U$507,"&gt;="&amp;31,Bills!$U$8:$U$507,"&lt;="&amp;60))</f>
        <v/>
      </c>
      <c r="G92" s="46" t="str">
        <f aca="false">IF(Suppliers!$B$92="","",SUMIFS(Bills!$K$8:$K$507,Bills!$D$8:$D$507,$B92,Bills!$K$8:$K$507,"&gt;0",Bills!$U$8:$U$507,"&gt;="&amp;61,Bills!$U$8:$U$507,"&lt;="&amp;90))</f>
        <v/>
      </c>
      <c r="H92" s="46" t="str">
        <f aca="false">IF(Suppliers!$B$92="","",SUMIFS(Bills!$K$8:$K$507,Bills!$D$8:$D$507,$B92,Bills!$K$8:$K$507,"&gt;0",Bills!$U$8:$U$507,"&gt;="&amp;91))</f>
        <v/>
      </c>
      <c r="I92" s="67" t="str">
        <f aca="false">IF(Suppliers!$B$92="","",MAX(0,Suppliers!$R$92-SUMIFS(Bills!$P$8:$P$507,Bills!$D$8:$D$507,$B92)))</f>
        <v/>
      </c>
      <c r="J92" s="55" t="str">
        <f aca="false">IF(Suppliers!$B$92="","",IF(COUNTIFS(Bills!$D$8:$D$507,$B92,Bills!$U$8:$U$507,"&gt;0")=0,"",SUMPRODUCT(MAX((Bills!$D$8:$D$507=$B92)*Bills!$U$8:$U$507))))</f>
        <v/>
      </c>
      <c r="K92" s="54" t="str">
        <f aca="false">IF(Suppliers!$B$92="","",IF(COUNTIF(Payments!$C$8:$C$507,$B92)=0,"–",SUMPRODUCT(MAX((Payments!$C$8:$C$507=$B92)*Payments!$B$8:$B$507))))</f>
        <v/>
      </c>
      <c r="L92" s="63" t="str">
        <f aca="false">IF(Suppliers!$B$92="","",Suppliers!$F$92&amp;"")</f>
        <v/>
      </c>
      <c r="M92" s="49" t="str">
        <f aca="false">IF(Suppliers!$B$92="","",Suppliers!$N$92)</f>
        <v/>
      </c>
      <c r="N92" s="9" t="n">
        <f aca="false">IF(B92="",-1,N(H92)+N(G92)+N(F92)+N(E92)+ROW()/1000000)</f>
        <v>-1</v>
      </c>
    </row>
    <row r="93" customFormat="false" ht="15" hidden="false" customHeight="false" outlineLevel="0" collapsed="false">
      <c r="A93" s="40" t="str">
        <f aca="false">IF(Suppliers!$B$93="","",87)</f>
        <v/>
      </c>
      <c r="B93" s="65" t="str">
        <f aca="false">IF(Suppliers!$B$93="","",Suppliers!$B$93)</f>
        <v/>
      </c>
      <c r="C93" s="66" t="str">
        <f aca="false">IF(Suppliers!$B$93="","",Suppliers!$K$93)</f>
        <v/>
      </c>
      <c r="D93" s="46" t="str">
        <f aca="false">IF(Suppliers!$B$93="","",SUMIFS(Bills!$K$8:$K$507,Bills!$D$8:$D$507,$B93,Bills!$K$8:$K$507,"&gt;0",Bills!$U$8:$U$507,0))</f>
        <v/>
      </c>
      <c r="E93" s="46" t="str">
        <f aca="false">IF(Suppliers!$B$93="","",SUMIFS(Bills!$K$8:$K$507,Bills!$D$8:$D$507,$B93,Bills!$K$8:$K$507,"&gt;0",Bills!$U$8:$U$507,"&gt;="&amp;1,Bills!$U$8:$U$507,"&lt;="&amp;30))</f>
        <v/>
      </c>
      <c r="F93" s="46" t="str">
        <f aca="false">IF(Suppliers!$B$93="","",SUMIFS(Bills!$K$8:$K$507,Bills!$D$8:$D$507,$B93,Bills!$K$8:$K$507,"&gt;0",Bills!$U$8:$U$507,"&gt;="&amp;31,Bills!$U$8:$U$507,"&lt;="&amp;60))</f>
        <v/>
      </c>
      <c r="G93" s="46" t="str">
        <f aca="false">IF(Suppliers!$B$93="","",SUMIFS(Bills!$K$8:$K$507,Bills!$D$8:$D$507,$B93,Bills!$K$8:$K$507,"&gt;0",Bills!$U$8:$U$507,"&gt;="&amp;61,Bills!$U$8:$U$507,"&lt;="&amp;90))</f>
        <v/>
      </c>
      <c r="H93" s="46" t="str">
        <f aca="false">IF(Suppliers!$B$93="","",SUMIFS(Bills!$K$8:$K$507,Bills!$D$8:$D$507,$B93,Bills!$K$8:$K$507,"&gt;0",Bills!$U$8:$U$507,"&gt;="&amp;91))</f>
        <v/>
      </c>
      <c r="I93" s="67" t="str">
        <f aca="false">IF(Suppliers!$B$93="","",MAX(0,Suppliers!$R$93-SUMIFS(Bills!$P$8:$P$507,Bills!$D$8:$D$507,$B93)))</f>
        <v/>
      </c>
      <c r="J93" s="55" t="str">
        <f aca="false">IF(Suppliers!$B$93="","",IF(COUNTIFS(Bills!$D$8:$D$507,$B93,Bills!$U$8:$U$507,"&gt;0")=0,"",SUMPRODUCT(MAX((Bills!$D$8:$D$507=$B93)*Bills!$U$8:$U$507))))</f>
        <v/>
      </c>
      <c r="K93" s="54" t="str">
        <f aca="false">IF(Suppliers!$B$93="","",IF(COUNTIF(Payments!$C$8:$C$507,$B93)=0,"–",SUMPRODUCT(MAX((Payments!$C$8:$C$507=$B93)*Payments!$B$8:$B$507))))</f>
        <v/>
      </c>
      <c r="L93" s="63" t="str">
        <f aca="false">IF(Suppliers!$B$93="","",Suppliers!$F$93&amp;"")</f>
        <v/>
      </c>
      <c r="M93" s="49" t="str">
        <f aca="false">IF(Suppliers!$B$93="","",Suppliers!$N$93)</f>
        <v/>
      </c>
      <c r="N93" s="9" t="n">
        <f aca="false">IF(B93="",-1,N(H93)+N(G93)+N(F93)+N(E93)+ROW()/1000000)</f>
        <v>-1</v>
      </c>
    </row>
    <row r="94" customFormat="false" ht="15" hidden="false" customHeight="false" outlineLevel="0" collapsed="false">
      <c r="A94" s="40" t="str">
        <f aca="false">IF(Suppliers!$B$94="","",88)</f>
        <v/>
      </c>
      <c r="B94" s="65" t="str">
        <f aca="false">IF(Suppliers!$B$94="","",Suppliers!$B$94)</f>
        <v/>
      </c>
      <c r="C94" s="66" t="str">
        <f aca="false">IF(Suppliers!$B$94="","",Suppliers!$K$94)</f>
        <v/>
      </c>
      <c r="D94" s="46" t="str">
        <f aca="false">IF(Suppliers!$B$94="","",SUMIFS(Bills!$K$8:$K$507,Bills!$D$8:$D$507,$B94,Bills!$K$8:$K$507,"&gt;0",Bills!$U$8:$U$507,0))</f>
        <v/>
      </c>
      <c r="E94" s="46" t="str">
        <f aca="false">IF(Suppliers!$B$94="","",SUMIFS(Bills!$K$8:$K$507,Bills!$D$8:$D$507,$B94,Bills!$K$8:$K$507,"&gt;0",Bills!$U$8:$U$507,"&gt;="&amp;1,Bills!$U$8:$U$507,"&lt;="&amp;30))</f>
        <v/>
      </c>
      <c r="F94" s="46" t="str">
        <f aca="false">IF(Suppliers!$B$94="","",SUMIFS(Bills!$K$8:$K$507,Bills!$D$8:$D$507,$B94,Bills!$K$8:$K$507,"&gt;0",Bills!$U$8:$U$507,"&gt;="&amp;31,Bills!$U$8:$U$507,"&lt;="&amp;60))</f>
        <v/>
      </c>
      <c r="G94" s="46" t="str">
        <f aca="false">IF(Suppliers!$B$94="","",SUMIFS(Bills!$K$8:$K$507,Bills!$D$8:$D$507,$B94,Bills!$K$8:$K$507,"&gt;0",Bills!$U$8:$U$507,"&gt;="&amp;61,Bills!$U$8:$U$507,"&lt;="&amp;90))</f>
        <v/>
      </c>
      <c r="H94" s="46" t="str">
        <f aca="false">IF(Suppliers!$B$94="","",SUMIFS(Bills!$K$8:$K$507,Bills!$D$8:$D$507,$B94,Bills!$K$8:$K$507,"&gt;0",Bills!$U$8:$U$507,"&gt;="&amp;91))</f>
        <v/>
      </c>
      <c r="I94" s="67" t="str">
        <f aca="false">IF(Suppliers!$B$94="","",MAX(0,Suppliers!$R$94-SUMIFS(Bills!$P$8:$P$507,Bills!$D$8:$D$507,$B94)))</f>
        <v/>
      </c>
      <c r="J94" s="55" t="str">
        <f aca="false">IF(Suppliers!$B$94="","",IF(COUNTIFS(Bills!$D$8:$D$507,$B94,Bills!$U$8:$U$507,"&gt;0")=0,"",SUMPRODUCT(MAX((Bills!$D$8:$D$507=$B94)*Bills!$U$8:$U$507))))</f>
        <v/>
      </c>
      <c r="K94" s="54" t="str">
        <f aca="false">IF(Suppliers!$B$94="","",IF(COUNTIF(Payments!$C$8:$C$507,$B94)=0,"–",SUMPRODUCT(MAX((Payments!$C$8:$C$507=$B94)*Payments!$B$8:$B$507))))</f>
        <v/>
      </c>
      <c r="L94" s="63" t="str">
        <f aca="false">IF(Suppliers!$B$94="","",Suppliers!$F$94&amp;"")</f>
        <v/>
      </c>
      <c r="M94" s="49" t="str">
        <f aca="false">IF(Suppliers!$B$94="","",Suppliers!$N$94)</f>
        <v/>
      </c>
      <c r="N94" s="9" t="n">
        <f aca="false">IF(B94="",-1,N(H94)+N(G94)+N(F94)+N(E94)+ROW()/1000000)</f>
        <v>-1</v>
      </c>
    </row>
    <row r="95" customFormat="false" ht="15" hidden="false" customHeight="false" outlineLevel="0" collapsed="false">
      <c r="A95" s="40" t="str">
        <f aca="false">IF(Suppliers!$B$95="","",89)</f>
        <v/>
      </c>
      <c r="B95" s="65" t="str">
        <f aca="false">IF(Suppliers!$B$95="","",Suppliers!$B$95)</f>
        <v/>
      </c>
      <c r="C95" s="66" t="str">
        <f aca="false">IF(Suppliers!$B$95="","",Suppliers!$K$95)</f>
        <v/>
      </c>
      <c r="D95" s="46" t="str">
        <f aca="false">IF(Suppliers!$B$95="","",SUMIFS(Bills!$K$8:$K$507,Bills!$D$8:$D$507,$B95,Bills!$K$8:$K$507,"&gt;0",Bills!$U$8:$U$507,0))</f>
        <v/>
      </c>
      <c r="E95" s="46" t="str">
        <f aca="false">IF(Suppliers!$B$95="","",SUMIFS(Bills!$K$8:$K$507,Bills!$D$8:$D$507,$B95,Bills!$K$8:$K$507,"&gt;0",Bills!$U$8:$U$507,"&gt;="&amp;1,Bills!$U$8:$U$507,"&lt;="&amp;30))</f>
        <v/>
      </c>
      <c r="F95" s="46" t="str">
        <f aca="false">IF(Suppliers!$B$95="","",SUMIFS(Bills!$K$8:$K$507,Bills!$D$8:$D$507,$B95,Bills!$K$8:$K$507,"&gt;0",Bills!$U$8:$U$507,"&gt;="&amp;31,Bills!$U$8:$U$507,"&lt;="&amp;60))</f>
        <v/>
      </c>
      <c r="G95" s="46" t="str">
        <f aca="false">IF(Suppliers!$B$95="","",SUMIFS(Bills!$K$8:$K$507,Bills!$D$8:$D$507,$B95,Bills!$K$8:$K$507,"&gt;0",Bills!$U$8:$U$507,"&gt;="&amp;61,Bills!$U$8:$U$507,"&lt;="&amp;90))</f>
        <v/>
      </c>
      <c r="H95" s="46" t="str">
        <f aca="false">IF(Suppliers!$B$95="","",SUMIFS(Bills!$K$8:$K$507,Bills!$D$8:$D$507,$B95,Bills!$K$8:$K$507,"&gt;0",Bills!$U$8:$U$507,"&gt;="&amp;91))</f>
        <v/>
      </c>
      <c r="I95" s="67" t="str">
        <f aca="false">IF(Suppliers!$B$95="","",MAX(0,Suppliers!$R$95-SUMIFS(Bills!$P$8:$P$507,Bills!$D$8:$D$507,$B95)))</f>
        <v/>
      </c>
      <c r="J95" s="55" t="str">
        <f aca="false">IF(Suppliers!$B$95="","",IF(COUNTIFS(Bills!$D$8:$D$507,$B95,Bills!$U$8:$U$507,"&gt;0")=0,"",SUMPRODUCT(MAX((Bills!$D$8:$D$507=$B95)*Bills!$U$8:$U$507))))</f>
        <v/>
      </c>
      <c r="K95" s="54" t="str">
        <f aca="false">IF(Suppliers!$B$95="","",IF(COUNTIF(Payments!$C$8:$C$507,$B95)=0,"–",SUMPRODUCT(MAX((Payments!$C$8:$C$507=$B95)*Payments!$B$8:$B$507))))</f>
        <v/>
      </c>
      <c r="L95" s="63" t="str">
        <f aca="false">IF(Suppliers!$B$95="","",Suppliers!$F$95&amp;"")</f>
        <v/>
      </c>
      <c r="M95" s="49" t="str">
        <f aca="false">IF(Suppliers!$B$95="","",Suppliers!$N$95)</f>
        <v/>
      </c>
      <c r="N95" s="9" t="n">
        <f aca="false">IF(B95="",-1,N(H95)+N(G95)+N(F95)+N(E95)+ROW()/1000000)</f>
        <v>-1</v>
      </c>
    </row>
    <row r="96" customFormat="false" ht="15" hidden="false" customHeight="false" outlineLevel="0" collapsed="false">
      <c r="A96" s="40" t="str">
        <f aca="false">IF(Suppliers!$B$96="","",90)</f>
        <v/>
      </c>
      <c r="B96" s="65" t="str">
        <f aca="false">IF(Suppliers!$B$96="","",Suppliers!$B$96)</f>
        <v/>
      </c>
      <c r="C96" s="66" t="str">
        <f aca="false">IF(Suppliers!$B$96="","",Suppliers!$K$96)</f>
        <v/>
      </c>
      <c r="D96" s="46" t="str">
        <f aca="false">IF(Suppliers!$B$96="","",SUMIFS(Bills!$K$8:$K$507,Bills!$D$8:$D$507,$B96,Bills!$K$8:$K$507,"&gt;0",Bills!$U$8:$U$507,0))</f>
        <v/>
      </c>
      <c r="E96" s="46" t="str">
        <f aca="false">IF(Suppliers!$B$96="","",SUMIFS(Bills!$K$8:$K$507,Bills!$D$8:$D$507,$B96,Bills!$K$8:$K$507,"&gt;0",Bills!$U$8:$U$507,"&gt;="&amp;1,Bills!$U$8:$U$507,"&lt;="&amp;30))</f>
        <v/>
      </c>
      <c r="F96" s="46" t="str">
        <f aca="false">IF(Suppliers!$B$96="","",SUMIFS(Bills!$K$8:$K$507,Bills!$D$8:$D$507,$B96,Bills!$K$8:$K$507,"&gt;0",Bills!$U$8:$U$507,"&gt;="&amp;31,Bills!$U$8:$U$507,"&lt;="&amp;60))</f>
        <v/>
      </c>
      <c r="G96" s="46" t="str">
        <f aca="false">IF(Suppliers!$B$96="","",SUMIFS(Bills!$K$8:$K$507,Bills!$D$8:$D$507,$B96,Bills!$K$8:$K$507,"&gt;0",Bills!$U$8:$U$507,"&gt;="&amp;61,Bills!$U$8:$U$507,"&lt;="&amp;90))</f>
        <v/>
      </c>
      <c r="H96" s="46" t="str">
        <f aca="false">IF(Suppliers!$B$96="","",SUMIFS(Bills!$K$8:$K$507,Bills!$D$8:$D$507,$B96,Bills!$K$8:$K$507,"&gt;0",Bills!$U$8:$U$507,"&gt;="&amp;91))</f>
        <v/>
      </c>
      <c r="I96" s="67" t="str">
        <f aca="false">IF(Suppliers!$B$96="","",MAX(0,Suppliers!$R$96-SUMIFS(Bills!$P$8:$P$507,Bills!$D$8:$D$507,$B96)))</f>
        <v/>
      </c>
      <c r="J96" s="55" t="str">
        <f aca="false">IF(Suppliers!$B$96="","",IF(COUNTIFS(Bills!$D$8:$D$507,$B96,Bills!$U$8:$U$507,"&gt;0")=0,"",SUMPRODUCT(MAX((Bills!$D$8:$D$507=$B96)*Bills!$U$8:$U$507))))</f>
        <v/>
      </c>
      <c r="K96" s="54" t="str">
        <f aca="false">IF(Suppliers!$B$96="","",IF(COUNTIF(Payments!$C$8:$C$507,$B96)=0,"–",SUMPRODUCT(MAX((Payments!$C$8:$C$507=$B96)*Payments!$B$8:$B$507))))</f>
        <v/>
      </c>
      <c r="L96" s="63" t="str">
        <f aca="false">IF(Suppliers!$B$96="","",Suppliers!$F$96&amp;"")</f>
        <v/>
      </c>
      <c r="M96" s="49" t="str">
        <f aca="false">IF(Suppliers!$B$96="","",Suppliers!$N$96)</f>
        <v/>
      </c>
      <c r="N96" s="9" t="n">
        <f aca="false">IF(B96="",-1,N(H96)+N(G96)+N(F96)+N(E96)+ROW()/1000000)</f>
        <v>-1</v>
      </c>
    </row>
    <row r="97" customFormat="false" ht="15" hidden="false" customHeight="false" outlineLevel="0" collapsed="false">
      <c r="A97" s="40" t="str">
        <f aca="false">IF(Suppliers!$B$97="","",91)</f>
        <v/>
      </c>
      <c r="B97" s="65" t="str">
        <f aca="false">IF(Suppliers!$B$97="","",Suppliers!$B$97)</f>
        <v/>
      </c>
      <c r="C97" s="66" t="str">
        <f aca="false">IF(Suppliers!$B$97="","",Suppliers!$K$97)</f>
        <v/>
      </c>
      <c r="D97" s="46" t="str">
        <f aca="false">IF(Suppliers!$B$97="","",SUMIFS(Bills!$K$8:$K$507,Bills!$D$8:$D$507,$B97,Bills!$K$8:$K$507,"&gt;0",Bills!$U$8:$U$507,0))</f>
        <v/>
      </c>
      <c r="E97" s="46" t="str">
        <f aca="false">IF(Suppliers!$B$97="","",SUMIFS(Bills!$K$8:$K$507,Bills!$D$8:$D$507,$B97,Bills!$K$8:$K$507,"&gt;0",Bills!$U$8:$U$507,"&gt;="&amp;1,Bills!$U$8:$U$507,"&lt;="&amp;30))</f>
        <v/>
      </c>
      <c r="F97" s="46" t="str">
        <f aca="false">IF(Suppliers!$B$97="","",SUMIFS(Bills!$K$8:$K$507,Bills!$D$8:$D$507,$B97,Bills!$K$8:$K$507,"&gt;0",Bills!$U$8:$U$507,"&gt;="&amp;31,Bills!$U$8:$U$507,"&lt;="&amp;60))</f>
        <v/>
      </c>
      <c r="G97" s="46" t="str">
        <f aca="false">IF(Suppliers!$B$97="","",SUMIFS(Bills!$K$8:$K$507,Bills!$D$8:$D$507,$B97,Bills!$K$8:$K$507,"&gt;0",Bills!$U$8:$U$507,"&gt;="&amp;61,Bills!$U$8:$U$507,"&lt;="&amp;90))</f>
        <v/>
      </c>
      <c r="H97" s="46" t="str">
        <f aca="false">IF(Suppliers!$B$97="","",SUMIFS(Bills!$K$8:$K$507,Bills!$D$8:$D$507,$B97,Bills!$K$8:$K$507,"&gt;0",Bills!$U$8:$U$507,"&gt;="&amp;91))</f>
        <v/>
      </c>
      <c r="I97" s="67" t="str">
        <f aca="false">IF(Suppliers!$B$97="","",MAX(0,Suppliers!$R$97-SUMIFS(Bills!$P$8:$P$507,Bills!$D$8:$D$507,$B97)))</f>
        <v/>
      </c>
      <c r="J97" s="55" t="str">
        <f aca="false">IF(Suppliers!$B$97="","",IF(COUNTIFS(Bills!$D$8:$D$507,$B97,Bills!$U$8:$U$507,"&gt;0")=0,"",SUMPRODUCT(MAX((Bills!$D$8:$D$507=$B97)*Bills!$U$8:$U$507))))</f>
        <v/>
      </c>
      <c r="K97" s="54" t="str">
        <f aca="false">IF(Suppliers!$B$97="","",IF(COUNTIF(Payments!$C$8:$C$507,$B97)=0,"–",SUMPRODUCT(MAX((Payments!$C$8:$C$507=$B97)*Payments!$B$8:$B$507))))</f>
        <v/>
      </c>
      <c r="L97" s="63" t="str">
        <f aca="false">IF(Suppliers!$B$97="","",Suppliers!$F$97&amp;"")</f>
        <v/>
      </c>
      <c r="M97" s="49" t="str">
        <f aca="false">IF(Suppliers!$B$97="","",Suppliers!$N$97)</f>
        <v/>
      </c>
      <c r="N97" s="9" t="n">
        <f aca="false">IF(B97="",-1,N(H97)+N(G97)+N(F97)+N(E97)+ROW()/1000000)</f>
        <v>-1</v>
      </c>
    </row>
    <row r="98" customFormat="false" ht="15" hidden="false" customHeight="false" outlineLevel="0" collapsed="false">
      <c r="A98" s="40" t="str">
        <f aca="false">IF(Suppliers!$B$98="","",92)</f>
        <v/>
      </c>
      <c r="B98" s="65" t="str">
        <f aca="false">IF(Suppliers!$B$98="","",Suppliers!$B$98)</f>
        <v/>
      </c>
      <c r="C98" s="66" t="str">
        <f aca="false">IF(Suppliers!$B$98="","",Suppliers!$K$98)</f>
        <v/>
      </c>
      <c r="D98" s="46" t="str">
        <f aca="false">IF(Suppliers!$B$98="","",SUMIFS(Bills!$K$8:$K$507,Bills!$D$8:$D$507,$B98,Bills!$K$8:$K$507,"&gt;0",Bills!$U$8:$U$507,0))</f>
        <v/>
      </c>
      <c r="E98" s="46" t="str">
        <f aca="false">IF(Suppliers!$B$98="","",SUMIFS(Bills!$K$8:$K$507,Bills!$D$8:$D$507,$B98,Bills!$K$8:$K$507,"&gt;0",Bills!$U$8:$U$507,"&gt;="&amp;1,Bills!$U$8:$U$507,"&lt;="&amp;30))</f>
        <v/>
      </c>
      <c r="F98" s="46" t="str">
        <f aca="false">IF(Suppliers!$B$98="","",SUMIFS(Bills!$K$8:$K$507,Bills!$D$8:$D$507,$B98,Bills!$K$8:$K$507,"&gt;0",Bills!$U$8:$U$507,"&gt;="&amp;31,Bills!$U$8:$U$507,"&lt;="&amp;60))</f>
        <v/>
      </c>
      <c r="G98" s="46" t="str">
        <f aca="false">IF(Suppliers!$B$98="","",SUMIFS(Bills!$K$8:$K$507,Bills!$D$8:$D$507,$B98,Bills!$K$8:$K$507,"&gt;0",Bills!$U$8:$U$507,"&gt;="&amp;61,Bills!$U$8:$U$507,"&lt;="&amp;90))</f>
        <v/>
      </c>
      <c r="H98" s="46" t="str">
        <f aca="false">IF(Suppliers!$B$98="","",SUMIFS(Bills!$K$8:$K$507,Bills!$D$8:$D$507,$B98,Bills!$K$8:$K$507,"&gt;0",Bills!$U$8:$U$507,"&gt;="&amp;91))</f>
        <v/>
      </c>
      <c r="I98" s="67" t="str">
        <f aca="false">IF(Suppliers!$B$98="","",MAX(0,Suppliers!$R$98-SUMIFS(Bills!$P$8:$P$507,Bills!$D$8:$D$507,$B98)))</f>
        <v/>
      </c>
      <c r="J98" s="55" t="str">
        <f aca="false">IF(Suppliers!$B$98="","",IF(COUNTIFS(Bills!$D$8:$D$507,$B98,Bills!$U$8:$U$507,"&gt;0")=0,"",SUMPRODUCT(MAX((Bills!$D$8:$D$507=$B98)*Bills!$U$8:$U$507))))</f>
        <v/>
      </c>
      <c r="K98" s="54" t="str">
        <f aca="false">IF(Suppliers!$B$98="","",IF(COUNTIF(Payments!$C$8:$C$507,$B98)=0,"–",SUMPRODUCT(MAX((Payments!$C$8:$C$507=$B98)*Payments!$B$8:$B$507))))</f>
        <v/>
      </c>
      <c r="L98" s="63" t="str">
        <f aca="false">IF(Suppliers!$B$98="","",Suppliers!$F$98&amp;"")</f>
        <v/>
      </c>
      <c r="M98" s="49" t="str">
        <f aca="false">IF(Suppliers!$B$98="","",Suppliers!$N$98)</f>
        <v/>
      </c>
      <c r="N98" s="9" t="n">
        <f aca="false">IF(B98="",-1,N(H98)+N(G98)+N(F98)+N(E98)+ROW()/1000000)</f>
        <v>-1</v>
      </c>
    </row>
    <row r="99" customFormat="false" ht="15" hidden="false" customHeight="false" outlineLevel="0" collapsed="false">
      <c r="A99" s="40" t="str">
        <f aca="false">IF(Suppliers!$B$99="","",93)</f>
        <v/>
      </c>
      <c r="B99" s="65" t="str">
        <f aca="false">IF(Suppliers!$B$99="","",Suppliers!$B$99)</f>
        <v/>
      </c>
      <c r="C99" s="66" t="str">
        <f aca="false">IF(Suppliers!$B$99="","",Suppliers!$K$99)</f>
        <v/>
      </c>
      <c r="D99" s="46" t="str">
        <f aca="false">IF(Suppliers!$B$99="","",SUMIFS(Bills!$K$8:$K$507,Bills!$D$8:$D$507,$B99,Bills!$K$8:$K$507,"&gt;0",Bills!$U$8:$U$507,0))</f>
        <v/>
      </c>
      <c r="E99" s="46" t="str">
        <f aca="false">IF(Suppliers!$B$99="","",SUMIFS(Bills!$K$8:$K$507,Bills!$D$8:$D$507,$B99,Bills!$K$8:$K$507,"&gt;0",Bills!$U$8:$U$507,"&gt;="&amp;1,Bills!$U$8:$U$507,"&lt;="&amp;30))</f>
        <v/>
      </c>
      <c r="F99" s="46" t="str">
        <f aca="false">IF(Suppliers!$B$99="","",SUMIFS(Bills!$K$8:$K$507,Bills!$D$8:$D$507,$B99,Bills!$K$8:$K$507,"&gt;0",Bills!$U$8:$U$507,"&gt;="&amp;31,Bills!$U$8:$U$507,"&lt;="&amp;60))</f>
        <v/>
      </c>
      <c r="G99" s="46" t="str">
        <f aca="false">IF(Suppliers!$B$99="","",SUMIFS(Bills!$K$8:$K$507,Bills!$D$8:$D$507,$B99,Bills!$K$8:$K$507,"&gt;0",Bills!$U$8:$U$507,"&gt;="&amp;61,Bills!$U$8:$U$507,"&lt;="&amp;90))</f>
        <v/>
      </c>
      <c r="H99" s="46" t="str">
        <f aca="false">IF(Suppliers!$B$99="","",SUMIFS(Bills!$K$8:$K$507,Bills!$D$8:$D$507,$B99,Bills!$K$8:$K$507,"&gt;0",Bills!$U$8:$U$507,"&gt;="&amp;91))</f>
        <v/>
      </c>
      <c r="I99" s="67" t="str">
        <f aca="false">IF(Suppliers!$B$99="","",MAX(0,Suppliers!$R$99-SUMIFS(Bills!$P$8:$P$507,Bills!$D$8:$D$507,$B99)))</f>
        <v/>
      </c>
      <c r="J99" s="55" t="str">
        <f aca="false">IF(Suppliers!$B$99="","",IF(COUNTIFS(Bills!$D$8:$D$507,$B99,Bills!$U$8:$U$507,"&gt;0")=0,"",SUMPRODUCT(MAX((Bills!$D$8:$D$507=$B99)*Bills!$U$8:$U$507))))</f>
        <v/>
      </c>
      <c r="K99" s="54" t="str">
        <f aca="false">IF(Suppliers!$B$99="","",IF(COUNTIF(Payments!$C$8:$C$507,$B99)=0,"–",SUMPRODUCT(MAX((Payments!$C$8:$C$507=$B99)*Payments!$B$8:$B$507))))</f>
        <v/>
      </c>
      <c r="L99" s="63" t="str">
        <f aca="false">IF(Suppliers!$B$99="","",Suppliers!$F$99&amp;"")</f>
        <v/>
      </c>
      <c r="M99" s="49" t="str">
        <f aca="false">IF(Suppliers!$B$99="","",Suppliers!$N$99)</f>
        <v/>
      </c>
      <c r="N99" s="9" t="n">
        <f aca="false">IF(B99="",-1,N(H99)+N(G99)+N(F99)+N(E99)+ROW()/1000000)</f>
        <v>-1</v>
      </c>
    </row>
    <row r="100" customFormat="false" ht="15" hidden="false" customHeight="false" outlineLevel="0" collapsed="false">
      <c r="A100" s="40" t="str">
        <f aca="false">IF(Suppliers!$B$100="","",94)</f>
        <v/>
      </c>
      <c r="B100" s="65" t="str">
        <f aca="false">IF(Suppliers!$B$100="","",Suppliers!$B$100)</f>
        <v/>
      </c>
      <c r="C100" s="66" t="str">
        <f aca="false">IF(Suppliers!$B$100="","",Suppliers!$K$100)</f>
        <v/>
      </c>
      <c r="D100" s="46" t="str">
        <f aca="false">IF(Suppliers!$B$100="","",SUMIFS(Bills!$K$8:$K$507,Bills!$D$8:$D$507,$B100,Bills!$K$8:$K$507,"&gt;0",Bills!$U$8:$U$507,0))</f>
        <v/>
      </c>
      <c r="E100" s="46" t="str">
        <f aca="false">IF(Suppliers!$B$100="","",SUMIFS(Bills!$K$8:$K$507,Bills!$D$8:$D$507,$B100,Bills!$K$8:$K$507,"&gt;0",Bills!$U$8:$U$507,"&gt;="&amp;1,Bills!$U$8:$U$507,"&lt;="&amp;30))</f>
        <v/>
      </c>
      <c r="F100" s="46" t="str">
        <f aca="false">IF(Suppliers!$B$100="","",SUMIFS(Bills!$K$8:$K$507,Bills!$D$8:$D$507,$B100,Bills!$K$8:$K$507,"&gt;0",Bills!$U$8:$U$507,"&gt;="&amp;31,Bills!$U$8:$U$507,"&lt;="&amp;60))</f>
        <v/>
      </c>
      <c r="G100" s="46" t="str">
        <f aca="false">IF(Suppliers!$B$100="","",SUMIFS(Bills!$K$8:$K$507,Bills!$D$8:$D$507,$B100,Bills!$K$8:$K$507,"&gt;0",Bills!$U$8:$U$507,"&gt;="&amp;61,Bills!$U$8:$U$507,"&lt;="&amp;90))</f>
        <v/>
      </c>
      <c r="H100" s="46" t="str">
        <f aca="false">IF(Suppliers!$B$100="","",SUMIFS(Bills!$K$8:$K$507,Bills!$D$8:$D$507,$B100,Bills!$K$8:$K$507,"&gt;0",Bills!$U$8:$U$507,"&gt;="&amp;91))</f>
        <v/>
      </c>
      <c r="I100" s="67" t="str">
        <f aca="false">IF(Suppliers!$B$100="","",MAX(0,Suppliers!$R$100-SUMIFS(Bills!$P$8:$P$507,Bills!$D$8:$D$507,$B100)))</f>
        <v/>
      </c>
      <c r="J100" s="55" t="str">
        <f aca="false">IF(Suppliers!$B$100="","",IF(COUNTIFS(Bills!$D$8:$D$507,$B100,Bills!$U$8:$U$507,"&gt;0")=0,"",SUMPRODUCT(MAX((Bills!$D$8:$D$507=$B100)*Bills!$U$8:$U$507))))</f>
        <v/>
      </c>
      <c r="K100" s="54" t="str">
        <f aca="false">IF(Suppliers!$B$100="","",IF(COUNTIF(Payments!$C$8:$C$507,$B100)=0,"–",SUMPRODUCT(MAX((Payments!$C$8:$C$507=$B100)*Payments!$B$8:$B$507))))</f>
        <v/>
      </c>
      <c r="L100" s="63" t="str">
        <f aca="false">IF(Suppliers!$B$100="","",Suppliers!$F$100&amp;"")</f>
        <v/>
      </c>
      <c r="M100" s="49" t="str">
        <f aca="false">IF(Suppliers!$B$100="","",Suppliers!$N$100)</f>
        <v/>
      </c>
      <c r="N100" s="9" t="n">
        <f aca="false">IF(B100="",-1,N(H100)+N(G100)+N(F100)+N(E100)+ROW()/1000000)</f>
        <v>-1</v>
      </c>
    </row>
    <row r="101" customFormat="false" ht="15" hidden="false" customHeight="false" outlineLevel="0" collapsed="false">
      <c r="A101" s="40" t="str">
        <f aca="false">IF(Suppliers!$B$101="","",95)</f>
        <v/>
      </c>
      <c r="B101" s="65" t="str">
        <f aca="false">IF(Suppliers!$B$101="","",Suppliers!$B$101)</f>
        <v/>
      </c>
      <c r="C101" s="66" t="str">
        <f aca="false">IF(Suppliers!$B$101="","",Suppliers!$K$101)</f>
        <v/>
      </c>
      <c r="D101" s="46" t="str">
        <f aca="false">IF(Suppliers!$B$101="","",SUMIFS(Bills!$K$8:$K$507,Bills!$D$8:$D$507,$B101,Bills!$K$8:$K$507,"&gt;0",Bills!$U$8:$U$507,0))</f>
        <v/>
      </c>
      <c r="E101" s="46" t="str">
        <f aca="false">IF(Suppliers!$B$101="","",SUMIFS(Bills!$K$8:$K$507,Bills!$D$8:$D$507,$B101,Bills!$K$8:$K$507,"&gt;0",Bills!$U$8:$U$507,"&gt;="&amp;1,Bills!$U$8:$U$507,"&lt;="&amp;30))</f>
        <v/>
      </c>
      <c r="F101" s="46" t="str">
        <f aca="false">IF(Suppliers!$B$101="","",SUMIFS(Bills!$K$8:$K$507,Bills!$D$8:$D$507,$B101,Bills!$K$8:$K$507,"&gt;0",Bills!$U$8:$U$507,"&gt;="&amp;31,Bills!$U$8:$U$507,"&lt;="&amp;60))</f>
        <v/>
      </c>
      <c r="G101" s="46" t="str">
        <f aca="false">IF(Suppliers!$B$101="","",SUMIFS(Bills!$K$8:$K$507,Bills!$D$8:$D$507,$B101,Bills!$K$8:$K$507,"&gt;0",Bills!$U$8:$U$507,"&gt;="&amp;61,Bills!$U$8:$U$507,"&lt;="&amp;90))</f>
        <v/>
      </c>
      <c r="H101" s="46" t="str">
        <f aca="false">IF(Suppliers!$B$101="","",SUMIFS(Bills!$K$8:$K$507,Bills!$D$8:$D$507,$B101,Bills!$K$8:$K$507,"&gt;0",Bills!$U$8:$U$507,"&gt;="&amp;91))</f>
        <v/>
      </c>
      <c r="I101" s="67" t="str">
        <f aca="false">IF(Suppliers!$B$101="","",MAX(0,Suppliers!$R$101-SUMIFS(Bills!$P$8:$P$507,Bills!$D$8:$D$507,$B101)))</f>
        <v/>
      </c>
      <c r="J101" s="55" t="str">
        <f aca="false">IF(Suppliers!$B$101="","",IF(COUNTIFS(Bills!$D$8:$D$507,$B101,Bills!$U$8:$U$507,"&gt;0")=0,"",SUMPRODUCT(MAX((Bills!$D$8:$D$507=$B101)*Bills!$U$8:$U$507))))</f>
        <v/>
      </c>
      <c r="K101" s="54" t="str">
        <f aca="false">IF(Suppliers!$B$101="","",IF(COUNTIF(Payments!$C$8:$C$507,$B101)=0,"–",SUMPRODUCT(MAX((Payments!$C$8:$C$507=$B101)*Payments!$B$8:$B$507))))</f>
        <v/>
      </c>
      <c r="L101" s="63" t="str">
        <f aca="false">IF(Suppliers!$B$101="","",Suppliers!$F$101&amp;"")</f>
        <v/>
      </c>
      <c r="M101" s="49" t="str">
        <f aca="false">IF(Suppliers!$B$101="","",Suppliers!$N$101)</f>
        <v/>
      </c>
      <c r="N101" s="9" t="n">
        <f aca="false">IF(B101="",-1,N(H101)+N(G101)+N(F101)+N(E101)+ROW()/1000000)</f>
        <v>-1</v>
      </c>
    </row>
    <row r="102" customFormat="false" ht="15" hidden="false" customHeight="false" outlineLevel="0" collapsed="false">
      <c r="A102" s="40" t="str">
        <f aca="false">IF(Suppliers!$B$102="","",96)</f>
        <v/>
      </c>
      <c r="B102" s="65" t="str">
        <f aca="false">IF(Suppliers!$B$102="","",Suppliers!$B$102)</f>
        <v/>
      </c>
      <c r="C102" s="66" t="str">
        <f aca="false">IF(Suppliers!$B$102="","",Suppliers!$K$102)</f>
        <v/>
      </c>
      <c r="D102" s="46" t="str">
        <f aca="false">IF(Suppliers!$B$102="","",SUMIFS(Bills!$K$8:$K$507,Bills!$D$8:$D$507,$B102,Bills!$K$8:$K$507,"&gt;0",Bills!$U$8:$U$507,0))</f>
        <v/>
      </c>
      <c r="E102" s="46" t="str">
        <f aca="false">IF(Suppliers!$B$102="","",SUMIFS(Bills!$K$8:$K$507,Bills!$D$8:$D$507,$B102,Bills!$K$8:$K$507,"&gt;0",Bills!$U$8:$U$507,"&gt;="&amp;1,Bills!$U$8:$U$507,"&lt;="&amp;30))</f>
        <v/>
      </c>
      <c r="F102" s="46" t="str">
        <f aca="false">IF(Suppliers!$B$102="","",SUMIFS(Bills!$K$8:$K$507,Bills!$D$8:$D$507,$B102,Bills!$K$8:$K$507,"&gt;0",Bills!$U$8:$U$507,"&gt;="&amp;31,Bills!$U$8:$U$507,"&lt;="&amp;60))</f>
        <v/>
      </c>
      <c r="G102" s="46" t="str">
        <f aca="false">IF(Suppliers!$B$102="","",SUMIFS(Bills!$K$8:$K$507,Bills!$D$8:$D$507,$B102,Bills!$K$8:$K$507,"&gt;0",Bills!$U$8:$U$507,"&gt;="&amp;61,Bills!$U$8:$U$507,"&lt;="&amp;90))</f>
        <v/>
      </c>
      <c r="H102" s="46" t="str">
        <f aca="false">IF(Suppliers!$B$102="","",SUMIFS(Bills!$K$8:$K$507,Bills!$D$8:$D$507,$B102,Bills!$K$8:$K$507,"&gt;0",Bills!$U$8:$U$507,"&gt;="&amp;91))</f>
        <v/>
      </c>
      <c r="I102" s="67" t="str">
        <f aca="false">IF(Suppliers!$B$102="","",MAX(0,Suppliers!$R$102-SUMIFS(Bills!$P$8:$P$507,Bills!$D$8:$D$507,$B102)))</f>
        <v/>
      </c>
      <c r="J102" s="55" t="str">
        <f aca="false">IF(Suppliers!$B$102="","",IF(COUNTIFS(Bills!$D$8:$D$507,$B102,Bills!$U$8:$U$507,"&gt;0")=0,"",SUMPRODUCT(MAX((Bills!$D$8:$D$507=$B102)*Bills!$U$8:$U$507))))</f>
        <v/>
      </c>
      <c r="K102" s="54" t="str">
        <f aca="false">IF(Suppliers!$B$102="","",IF(COUNTIF(Payments!$C$8:$C$507,$B102)=0,"–",SUMPRODUCT(MAX((Payments!$C$8:$C$507=$B102)*Payments!$B$8:$B$507))))</f>
        <v/>
      </c>
      <c r="L102" s="63" t="str">
        <f aca="false">IF(Suppliers!$B$102="","",Suppliers!$F$102&amp;"")</f>
        <v/>
      </c>
      <c r="M102" s="49" t="str">
        <f aca="false">IF(Suppliers!$B$102="","",Suppliers!$N$102)</f>
        <v/>
      </c>
      <c r="N102" s="9" t="n">
        <f aca="false">IF(B102="",-1,N(H102)+N(G102)+N(F102)+N(E102)+ROW()/1000000)</f>
        <v>-1</v>
      </c>
    </row>
    <row r="103" customFormat="false" ht="15" hidden="false" customHeight="false" outlineLevel="0" collapsed="false">
      <c r="A103" s="40" t="str">
        <f aca="false">IF(Suppliers!$B$103="","",97)</f>
        <v/>
      </c>
      <c r="B103" s="65" t="str">
        <f aca="false">IF(Suppliers!$B$103="","",Suppliers!$B$103)</f>
        <v/>
      </c>
      <c r="C103" s="66" t="str">
        <f aca="false">IF(Suppliers!$B$103="","",Suppliers!$K$103)</f>
        <v/>
      </c>
      <c r="D103" s="46" t="str">
        <f aca="false">IF(Suppliers!$B$103="","",SUMIFS(Bills!$K$8:$K$507,Bills!$D$8:$D$507,$B103,Bills!$K$8:$K$507,"&gt;0",Bills!$U$8:$U$507,0))</f>
        <v/>
      </c>
      <c r="E103" s="46" t="str">
        <f aca="false">IF(Suppliers!$B$103="","",SUMIFS(Bills!$K$8:$K$507,Bills!$D$8:$D$507,$B103,Bills!$K$8:$K$507,"&gt;0",Bills!$U$8:$U$507,"&gt;="&amp;1,Bills!$U$8:$U$507,"&lt;="&amp;30))</f>
        <v/>
      </c>
      <c r="F103" s="46" t="str">
        <f aca="false">IF(Suppliers!$B$103="","",SUMIFS(Bills!$K$8:$K$507,Bills!$D$8:$D$507,$B103,Bills!$K$8:$K$507,"&gt;0",Bills!$U$8:$U$507,"&gt;="&amp;31,Bills!$U$8:$U$507,"&lt;="&amp;60))</f>
        <v/>
      </c>
      <c r="G103" s="46" t="str">
        <f aca="false">IF(Suppliers!$B$103="","",SUMIFS(Bills!$K$8:$K$507,Bills!$D$8:$D$507,$B103,Bills!$K$8:$K$507,"&gt;0",Bills!$U$8:$U$507,"&gt;="&amp;61,Bills!$U$8:$U$507,"&lt;="&amp;90))</f>
        <v/>
      </c>
      <c r="H103" s="46" t="str">
        <f aca="false">IF(Suppliers!$B$103="","",SUMIFS(Bills!$K$8:$K$507,Bills!$D$8:$D$507,$B103,Bills!$K$8:$K$507,"&gt;0",Bills!$U$8:$U$507,"&gt;="&amp;91))</f>
        <v/>
      </c>
      <c r="I103" s="67" t="str">
        <f aca="false">IF(Suppliers!$B$103="","",MAX(0,Suppliers!$R$103-SUMIFS(Bills!$P$8:$P$507,Bills!$D$8:$D$507,$B103)))</f>
        <v/>
      </c>
      <c r="J103" s="55" t="str">
        <f aca="false">IF(Suppliers!$B$103="","",IF(COUNTIFS(Bills!$D$8:$D$507,$B103,Bills!$U$8:$U$507,"&gt;0")=0,"",SUMPRODUCT(MAX((Bills!$D$8:$D$507=$B103)*Bills!$U$8:$U$507))))</f>
        <v/>
      </c>
      <c r="K103" s="54" t="str">
        <f aca="false">IF(Suppliers!$B$103="","",IF(COUNTIF(Payments!$C$8:$C$507,$B103)=0,"–",SUMPRODUCT(MAX((Payments!$C$8:$C$507=$B103)*Payments!$B$8:$B$507))))</f>
        <v/>
      </c>
      <c r="L103" s="63" t="str">
        <f aca="false">IF(Suppliers!$B$103="","",Suppliers!$F$103&amp;"")</f>
        <v/>
      </c>
      <c r="M103" s="49" t="str">
        <f aca="false">IF(Suppliers!$B$103="","",Suppliers!$N$103)</f>
        <v/>
      </c>
      <c r="N103" s="9" t="n">
        <f aca="false">IF(B103="",-1,N(H103)+N(G103)+N(F103)+N(E103)+ROW()/1000000)</f>
        <v>-1</v>
      </c>
    </row>
    <row r="104" customFormat="false" ht="15" hidden="false" customHeight="false" outlineLevel="0" collapsed="false">
      <c r="A104" s="40" t="str">
        <f aca="false">IF(Suppliers!$B$104="","",98)</f>
        <v/>
      </c>
      <c r="B104" s="65" t="str">
        <f aca="false">IF(Suppliers!$B$104="","",Suppliers!$B$104)</f>
        <v/>
      </c>
      <c r="C104" s="66" t="str">
        <f aca="false">IF(Suppliers!$B$104="","",Suppliers!$K$104)</f>
        <v/>
      </c>
      <c r="D104" s="46" t="str">
        <f aca="false">IF(Suppliers!$B$104="","",SUMIFS(Bills!$K$8:$K$507,Bills!$D$8:$D$507,$B104,Bills!$K$8:$K$507,"&gt;0",Bills!$U$8:$U$507,0))</f>
        <v/>
      </c>
      <c r="E104" s="46" t="str">
        <f aca="false">IF(Suppliers!$B$104="","",SUMIFS(Bills!$K$8:$K$507,Bills!$D$8:$D$507,$B104,Bills!$K$8:$K$507,"&gt;0",Bills!$U$8:$U$507,"&gt;="&amp;1,Bills!$U$8:$U$507,"&lt;="&amp;30))</f>
        <v/>
      </c>
      <c r="F104" s="46" t="str">
        <f aca="false">IF(Suppliers!$B$104="","",SUMIFS(Bills!$K$8:$K$507,Bills!$D$8:$D$507,$B104,Bills!$K$8:$K$507,"&gt;0",Bills!$U$8:$U$507,"&gt;="&amp;31,Bills!$U$8:$U$507,"&lt;="&amp;60))</f>
        <v/>
      </c>
      <c r="G104" s="46" t="str">
        <f aca="false">IF(Suppliers!$B$104="","",SUMIFS(Bills!$K$8:$K$507,Bills!$D$8:$D$507,$B104,Bills!$K$8:$K$507,"&gt;0",Bills!$U$8:$U$507,"&gt;="&amp;61,Bills!$U$8:$U$507,"&lt;="&amp;90))</f>
        <v/>
      </c>
      <c r="H104" s="46" t="str">
        <f aca="false">IF(Suppliers!$B$104="","",SUMIFS(Bills!$K$8:$K$507,Bills!$D$8:$D$507,$B104,Bills!$K$8:$K$507,"&gt;0",Bills!$U$8:$U$507,"&gt;="&amp;91))</f>
        <v/>
      </c>
      <c r="I104" s="67" t="str">
        <f aca="false">IF(Suppliers!$B$104="","",MAX(0,Suppliers!$R$104-SUMIFS(Bills!$P$8:$P$507,Bills!$D$8:$D$507,$B104)))</f>
        <v/>
      </c>
      <c r="J104" s="55" t="str">
        <f aca="false">IF(Suppliers!$B$104="","",IF(COUNTIFS(Bills!$D$8:$D$507,$B104,Bills!$U$8:$U$507,"&gt;0")=0,"",SUMPRODUCT(MAX((Bills!$D$8:$D$507=$B104)*Bills!$U$8:$U$507))))</f>
        <v/>
      </c>
      <c r="K104" s="54" t="str">
        <f aca="false">IF(Suppliers!$B$104="","",IF(COUNTIF(Payments!$C$8:$C$507,$B104)=0,"–",SUMPRODUCT(MAX((Payments!$C$8:$C$507=$B104)*Payments!$B$8:$B$507))))</f>
        <v/>
      </c>
      <c r="L104" s="63" t="str">
        <f aca="false">IF(Suppliers!$B$104="","",Suppliers!$F$104&amp;"")</f>
        <v/>
      </c>
      <c r="M104" s="49" t="str">
        <f aca="false">IF(Suppliers!$B$104="","",Suppliers!$N$104)</f>
        <v/>
      </c>
      <c r="N104" s="9" t="n">
        <f aca="false">IF(B104="",-1,N(H104)+N(G104)+N(F104)+N(E104)+ROW()/1000000)</f>
        <v>-1</v>
      </c>
    </row>
    <row r="105" customFormat="false" ht="15" hidden="false" customHeight="false" outlineLevel="0" collapsed="false">
      <c r="A105" s="40" t="str">
        <f aca="false">IF(Suppliers!$B$105="","",99)</f>
        <v/>
      </c>
      <c r="B105" s="65" t="str">
        <f aca="false">IF(Suppliers!$B$105="","",Suppliers!$B$105)</f>
        <v/>
      </c>
      <c r="C105" s="66" t="str">
        <f aca="false">IF(Suppliers!$B$105="","",Suppliers!$K$105)</f>
        <v/>
      </c>
      <c r="D105" s="46" t="str">
        <f aca="false">IF(Suppliers!$B$105="","",SUMIFS(Bills!$K$8:$K$507,Bills!$D$8:$D$507,$B105,Bills!$K$8:$K$507,"&gt;0",Bills!$U$8:$U$507,0))</f>
        <v/>
      </c>
      <c r="E105" s="46" t="str">
        <f aca="false">IF(Suppliers!$B$105="","",SUMIFS(Bills!$K$8:$K$507,Bills!$D$8:$D$507,$B105,Bills!$K$8:$K$507,"&gt;0",Bills!$U$8:$U$507,"&gt;="&amp;1,Bills!$U$8:$U$507,"&lt;="&amp;30))</f>
        <v/>
      </c>
      <c r="F105" s="46" t="str">
        <f aca="false">IF(Suppliers!$B$105="","",SUMIFS(Bills!$K$8:$K$507,Bills!$D$8:$D$507,$B105,Bills!$K$8:$K$507,"&gt;0",Bills!$U$8:$U$507,"&gt;="&amp;31,Bills!$U$8:$U$507,"&lt;="&amp;60))</f>
        <v/>
      </c>
      <c r="G105" s="46" t="str">
        <f aca="false">IF(Suppliers!$B$105="","",SUMIFS(Bills!$K$8:$K$507,Bills!$D$8:$D$507,$B105,Bills!$K$8:$K$507,"&gt;0",Bills!$U$8:$U$507,"&gt;="&amp;61,Bills!$U$8:$U$507,"&lt;="&amp;90))</f>
        <v/>
      </c>
      <c r="H105" s="46" t="str">
        <f aca="false">IF(Suppliers!$B$105="","",SUMIFS(Bills!$K$8:$K$507,Bills!$D$8:$D$507,$B105,Bills!$K$8:$K$507,"&gt;0",Bills!$U$8:$U$507,"&gt;="&amp;91))</f>
        <v/>
      </c>
      <c r="I105" s="67" t="str">
        <f aca="false">IF(Suppliers!$B$105="","",MAX(0,Suppliers!$R$105-SUMIFS(Bills!$P$8:$P$507,Bills!$D$8:$D$507,$B105)))</f>
        <v/>
      </c>
      <c r="J105" s="55" t="str">
        <f aca="false">IF(Suppliers!$B$105="","",IF(COUNTIFS(Bills!$D$8:$D$507,$B105,Bills!$U$8:$U$507,"&gt;0")=0,"",SUMPRODUCT(MAX((Bills!$D$8:$D$507=$B105)*Bills!$U$8:$U$507))))</f>
        <v/>
      </c>
      <c r="K105" s="54" t="str">
        <f aca="false">IF(Suppliers!$B$105="","",IF(COUNTIF(Payments!$C$8:$C$507,$B105)=0,"–",SUMPRODUCT(MAX((Payments!$C$8:$C$507=$B105)*Payments!$B$8:$B$507))))</f>
        <v/>
      </c>
      <c r="L105" s="63" t="str">
        <f aca="false">IF(Suppliers!$B$105="","",Suppliers!$F$105&amp;"")</f>
        <v/>
      </c>
      <c r="M105" s="49" t="str">
        <f aca="false">IF(Suppliers!$B$105="","",Suppliers!$N$105)</f>
        <v/>
      </c>
      <c r="N105" s="9" t="n">
        <f aca="false">IF(B105="",-1,N(H105)+N(G105)+N(F105)+N(E105)+ROW()/1000000)</f>
        <v>-1</v>
      </c>
    </row>
    <row r="106" customFormat="false" ht="15" hidden="false" customHeight="false" outlineLevel="0" collapsed="false">
      <c r="A106" s="40" t="str">
        <f aca="false">IF(Suppliers!$B$106="","",100)</f>
        <v/>
      </c>
      <c r="B106" s="65" t="str">
        <f aca="false">IF(Suppliers!$B$106="","",Suppliers!$B$106)</f>
        <v/>
      </c>
      <c r="C106" s="66" t="str">
        <f aca="false">IF(Suppliers!$B$106="","",Suppliers!$K$106)</f>
        <v/>
      </c>
      <c r="D106" s="46" t="str">
        <f aca="false">IF(Suppliers!$B$106="","",SUMIFS(Bills!$K$8:$K$507,Bills!$D$8:$D$507,$B106,Bills!$K$8:$K$507,"&gt;0",Bills!$U$8:$U$507,0))</f>
        <v/>
      </c>
      <c r="E106" s="46" t="str">
        <f aca="false">IF(Suppliers!$B$106="","",SUMIFS(Bills!$K$8:$K$507,Bills!$D$8:$D$507,$B106,Bills!$K$8:$K$507,"&gt;0",Bills!$U$8:$U$507,"&gt;="&amp;1,Bills!$U$8:$U$507,"&lt;="&amp;30))</f>
        <v/>
      </c>
      <c r="F106" s="46" t="str">
        <f aca="false">IF(Suppliers!$B$106="","",SUMIFS(Bills!$K$8:$K$507,Bills!$D$8:$D$507,$B106,Bills!$K$8:$K$507,"&gt;0",Bills!$U$8:$U$507,"&gt;="&amp;31,Bills!$U$8:$U$507,"&lt;="&amp;60))</f>
        <v/>
      </c>
      <c r="G106" s="46" t="str">
        <f aca="false">IF(Suppliers!$B$106="","",SUMIFS(Bills!$K$8:$K$507,Bills!$D$8:$D$507,$B106,Bills!$K$8:$K$507,"&gt;0",Bills!$U$8:$U$507,"&gt;="&amp;61,Bills!$U$8:$U$507,"&lt;="&amp;90))</f>
        <v/>
      </c>
      <c r="H106" s="46" t="str">
        <f aca="false">IF(Suppliers!$B$106="","",SUMIFS(Bills!$K$8:$K$507,Bills!$D$8:$D$507,$B106,Bills!$K$8:$K$507,"&gt;0",Bills!$U$8:$U$507,"&gt;="&amp;91))</f>
        <v/>
      </c>
      <c r="I106" s="67" t="str">
        <f aca="false">IF(Suppliers!$B$106="","",MAX(0,Suppliers!$R$106-SUMIFS(Bills!$P$8:$P$507,Bills!$D$8:$D$507,$B106)))</f>
        <v/>
      </c>
      <c r="J106" s="55" t="str">
        <f aca="false">IF(Suppliers!$B$106="","",IF(COUNTIFS(Bills!$D$8:$D$507,$B106,Bills!$U$8:$U$507,"&gt;0")=0,"",SUMPRODUCT(MAX((Bills!$D$8:$D$507=$B106)*Bills!$U$8:$U$507))))</f>
        <v/>
      </c>
      <c r="K106" s="54" t="str">
        <f aca="false">IF(Suppliers!$B$106="","",IF(COUNTIF(Payments!$C$8:$C$507,$B106)=0,"–",SUMPRODUCT(MAX((Payments!$C$8:$C$507=$B106)*Payments!$B$8:$B$507))))</f>
        <v/>
      </c>
      <c r="L106" s="63" t="str">
        <f aca="false">IF(Suppliers!$B$106="","",Suppliers!$F$106&amp;"")</f>
        <v/>
      </c>
      <c r="M106" s="49" t="str">
        <f aca="false">IF(Suppliers!$B$106="","",Suppliers!$N$106)</f>
        <v/>
      </c>
      <c r="N106" s="9" t="n">
        <f aca="false">IF(B106="",-1,N(H106)+N(G106)+N(F106)+N(E106)+ROW()/1000000)</f>
        <v>-1</v>
      </c>
    </row>
    <row r="107" customFormat="false" ht="15" hidden="false" customHeight="false" outlineLevel="0" collapsed="false">
      <c r="B107" s="68" t="s">
        <v>169</v>
      </c>
      <c r="C107" s="69" t="n">
        <f aca="false">SUM(C7:C106)</f>
        <v>224580</v>
      </c>
      <c r="D107" s="69" t="n">
        <f aca="false">SUM(D7:D106)</f>
        <v>183608</v>
      </c>
      <c r="E107" s="69" t="n">
        <f aca="false">SUM(E7:E106)</f>
        <v>32092</v>
      </c>
      <c r="F107" s="69" t="n">
        <f aca="false">SUM(F7:F106)</f>
        <v>8880</v>
      </c>
      <c r="G107" s="69" t="n">
        <f aca="false">SUM(G7:G106)</f>
        <v>0</v>
      </c>
      <c r="H107" s="69" t="n">
        <f aca="false">SUM(H7:H106)</f>
        <v>0</v>
      </c>
      <c r="I107" s="69" t="n">
        <f aca="false">SUM(I7:I106)</f>
        <v>0</v>
      </c>
    </row>
  </sheetData>
  <sheetProtection sheet="1" objects="1" scenarios="1" formatColumns="0" formatRows="0" algorithmName="SHA-512" hashValue="cF25aq6eR1KySRQv+TLUvum44Il9WXHWTN4zFHuRT04vUCVxRJqSwKZkIjnzpaWeNT/q4w+RMdS8cFYiWPdqNg==" saltValue="S3kypgvsBf87zYHoaqQXRA==" spinCount="100000"/>
  <mergeCells count="2">
    <mergeCell ref="A2:M2"/>
    <mergeCell ref="A3:M3"/>
  </mergeCells>
  <conditionalFormatting sqref="M7:M106">
    <cfRule type="expression" priority="2" aboveAverage="0" equalAverage="0" bottom="0" percent="0" rank="0" text="" dxfId="0">
      <formula>LEFT($M7,1)="⚠"</formula>
    </cfRule>
    <cfRule type="expression" priority="3" aboveAverage="0" equalAverage="0" bottom="0" percent="0" rank="0" text="" dxfId="1">
      <formula>$M7="Overdue"</formula>
    </cfRule>
  </conditionalFormatting>
  <conditionalFormatting sqref="A7:M106">
    <cfRule type="expression" priority="4" aboveAverage="0" equalAverage="0" bottom="0" percent="0" rank="0" text="" dxfId="7">
      <formula>$B7=""</formula>
    </cfRule>
  </conditionalFormatting>
  <hyperlinks>
    <hyperlink ref="A1" r:id="rId1" location="'Dashboard'!A1" display="◄ BACK TO DASHBOARD"/>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D9D9D9"/>
    <pageSetUpPr fitToPage="false"/>
  </sheetPr>
  <dimension ref="A1:D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142</v>
      </c>
      <c r="B1" s="0" t="s">
        <v>6</v>
      </c>
      <c r="C1" s="0" t="s">
        <v>90</v>
      </c>
      <c r="D1" s="0" t="s">
        <v>81</v>
      </c>
    </row>
    <row r="2" customFormat="false" ht="15" hidden="false" customHeight="false" outlineLevel="0" collapsed="false">
      <c r="A2" s="0" t="s">
        <v>147</v>
      </c>
      <c r="B2" s="0" t="s">
        <v>9</v>
      </c>
      <c r="C2" s="0" t="s">
        <v>85</v>
      </c>
      <c r="D2" s="0" t="s">
        <v>92</v>
      </c>
    </row>
    <row r="3" customFormat="false" ht="15" hidden="false" customHeight="false" outlineLevel="0" collapsed="false">
      <c r="A3" s="0" t="s">
        <v>144</v>
      </c>
      <c r="B3" s="0" t="s">
        <v>12</v>
      </c>
      <c r="C3" s="0" t="s">
        <v>95</v>
      </c>
    </row>
    <row r="4" customFormat="false" ht="15" hidden="false" customHeight="false" outlineLevel="0" collapsed="false">
      <c r="A4" s="0" t="s">
        <v>170</v>
      </c>
      <c r="B4" s="0" t="s">
        <v>15</v>
      </c>
      <c r="C4" s="0" t="s">
        <v>80</v>
      </c>
    </row>
    <row r="5" customFormat="false" ht="15" hidden="false" customHeight="false" outlineLevel="0" collapsed="false">
      <c r="A5" s="0" t="s">
        <v>171</v>
      </c>
      <c r="B5" s="0" t="s">
        <v>18</v>
      </c>
    </row>
    <row r="6" customFormat="false" ht="15" hidden="false" customHeight="false" outlineLevel="0" collapsed="false">
      <c r="A6" s="0" t="s">
        <v>151</v>
      </c>
    </row>
  </sheetData>
  <sheetProtection sheet="1" objects="1" scenarios="1" formatColumns="0" formatRows="0" algorithmName="SHA-512" hashValue="lCQ3NXGSa81Ea5Skt8kAXZBwWwdnMUonSjJf34YfYU6mtzCcZsu6UM2rvgN3X6vEWCz26EGjMR1XkqzFUwZefQ==" saltValue="D6dP1cwjpvc/uibjf7b/6A==" spinCount="100000"/>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2026-10-15T07:49:58Z</dcterms:created>
  <dc:creator>Xplorexcel.com</dc:creator>
  <dc:description/>
  <dc:language>en-US</dc:language>
  <cp:lastModifiedBy/>
  <dcterms:modified xsi:type="dcterms:W3CDTF">2026-10-15T07:50:02Z</dcterms:modified>
  <cp:revision>1</cp:revision>
  <dc:subject/>
  <dc:title>Supplier Payables &amp; Payment Due Tracker 1.0</dc:title>
</cp:coreProperties>
</file>

<file path=docProps/custom.xml><?xml version="1.0" encoding="utf-8"?>
<Properties xmlns="http://schemas.openxmlformats.org/officeDocument/2006/custom-properties" xmlns:vt="http://schemas.openxmlformats.org/officeDocument/2006/docPropsVTypes"/>
</file>